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Informes Deuda Web\2020\Anexo web para enviar\PÁGINA\Noviembre\"/>
    </mc:Choice>
  </mc:AlternateContent>
  <bookViews>
    <workbookView xWindow="-120" yWindow="-120" windowWidth="20730" windowHeight="11160"/>
  </bookViews>
  <sheets>
    <sheet name="Servicios Pagados" sheetId="4" r:id="rId1"/>
  </sheet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\f" localSheetId="0">#REF!</definedName>
    <definedName name="\f">#REF!</definedName>
    <definedName name="\g" localSheetId="0">#REF!</definedName>
    <definedName name="\g">#REF!</definedName>
    <definedName name="\h" localSheetId="0">#REF!</definedName>
    <definedName name="\h">#REF!</definedName>
    <definedName name="\j" localSheetId="0">#REF!</definedName>
    <definedName name="\j">#REF!</definedName>
    <definedName name="\k" localSheetId="0">#REF!</definedName>
    <definedName name="\k">#REF!</definedName>
    <definedName name="\l" localSheetId="0">#REF!</definedName>
    <definedName name="\l">#REF!</definedName>
    <definedName name="\m" localSheetId="0">#REF!</definedName>
    <definedName name="\m">#REF!</definedName>
    <definedName name="\n" localSheetId="0">#REF!</definedName>
    <definedName name="\n">#REF!</definedName>
    <definedName name="\p" localSheetId="0">#REF!</definedName>
    <definedName name="\p">#REF!</definedName>
    <definedName name="\q" localSheetId="0">#REF!</definedName>
    <definedName name="\q">#REF!</definedName>
    <definedName name="\r" localSheetId="0">#REF!</definedName>
    <definedName name="\r">#REF!</definedName>
    <definedName name="\s" localSheetId="0">#REF!</definedName>
    <definedName name="\s">#REF!</definedName>
    <definedName name="\t" localSheetId="0">#REF!</definedName>
    <definedName name="\t">#REF!</definedName>
    <definedName name="\u" localSheetId="0">#REF!</definedName>
    <definedName name="\u">#REF!</definedName>
    <definedName name="\v" localSheetId="0">#REF!</definedName>
    <definedName name="\v">#REF!</definedName>
    <definedName name="\w" localSheetId="0">#REF!</definedName>
    <definedName name="\w">#REF!</definedName>
    <definedName name="\x" localSheetId="0">#REF!</definedName>
    <definedName name="\x">#REF!</definedName>
    <definedName name="\y" localSheetId="0">#REF!</definedName>
    <definedName name="\y">#REF!</definedName>
    <definedName name="\z" localSheetId="0">#REF!</definedName>
    <definedName name="\z">#REF!</definedName>
    <definedName name="_F" localSheetId="0">#REF!</definedName>
    <definedName name="_F">#REF!</definedName>
    <definedName name="_Order1" hidden="1">255</definedName>
    <definedName name="_Order2" hidden="1">255</definedName>
    <definedName name="_R" localSheetId="0">#REF!</definedName>
    <definedName name="_R">#REF!</definedName>
    <definedName name="_RML179" localSheetId="0">#REF!</definedName>
    <definedName name="_RML179">#REF!</definedName>
    <definedName name="_RML59" localSheetId="0">#REF!</definedName>
    <definedName name="_RML59">#REF!</definedName>
    <definedName name="_RML89" localSheetId="0">#REF!</definedName>
    <definedName name="_RML89">#REF!</definedName>
    <definedName name="_TE30" localSheetId="0">#REF!</definedName>
    <definedName name="_TE30">#REF!</definedName>
    <definedName name="_TE59" localSheetId="0">#REF!</definedName>
    <definedName name="_TE59">#REF!</definedName>
    <definedName name="_TE60" localSheetId="0">#REF!</definedName>
    <definedName name="_TE60">#REF!</definedName>
    <definedName name="A" localSheetId="0">#REF!</definedName>
    <definedName name="A">#REF!</definedName>
    <definedName name="_xlnm.Print_Area" localSheetId="0">'Servicios Pagados'!$B$1:$BF$129</definedName>
    <definedName name="B" localSheetId="0">#REF!</definedName>
    <definedName name="B">#REF!</definedName>
    <definedName name="BONOSEEUU" localSheetId="0">#REF!</definedName>
    <definedName name="BONOSEEUU">#REF!</definedName>
    <definedName name="BORRAR" localSheetId="0">#REF!</definedName>
    <definedName name="BORRAR">#REF!</definedName>
    <definedName name="C_" localSheetId="0">#REF!</definedName>
    <definedName name="C_">#REF!</definedName>
    <definedName name="CGD" localSheetId="0">#REF!</definedName>
    <definedName name="CGD">#REF!</definedName>
    <definedName name="_xlnm.Criteria">#REF!</definedName>
    <definedName name="D" localSheetId="0">#REF!</definedName>
    <definedName name="D">#REF!</definedName>
    <definedName name="devanual">#REF!</definedName>
    <definedName name="E" localSheetId="0">#REF!</definedName>
    <definedName name="E">#REF!</definedName>
    <definedName name="Franco">#REF!</definedName>
    <definedName name="FRB" localSheetId="0">#REF!</definedName>
    <definedName name="FRB">#REF!</definedName>
    <definedName name="G" localSheetId="0">#REF!</definedName>
    <definedName name="G">#REF!</definedName>
    <definedName name="GALICIA_3">#REF!</definedName>
    <definedName name="GALICIA_4">#REF!</definedName>
    <definedName name="H" localSheetId="0">#REF!</definedName>
    <definedName name="H">#REF!</definedName>
    <definedName name="HOJA_3">#REF!</definedName>
    <definedName name="HOJA_4">#REF!</definedName>
    <definedName name="HOJA_5">#REF!</definedName>
    <definedName name="HOJA_6">#REF!</definedName>
    <definedName name="hoja1">#REF!</definedName>
    <definedName name="hyrg">#REF!</definedName>
    <definedName name="I" localSheetId="0">#REF!</definedName>
    <definedName name="I">#REF!</definedName>
    <definedName name="IMPRIMIR" localSheetId="0">#REF!</definedName>
    <definedName name="IMPRIMIR">#REF!</definedName>
    <definedName name="INDICE">#REF!</definedName>
    <definedName name="INDICE_2">#REF!</definedName>
    <definedName name="INDICES">#REF!</definedName>
    <definedName name="J" localSheetId="0">#REF!</definedName>
    <definedName name="J">#REF!</definedName>
    <definedName name="K" localSheetId="0">#REF!</definedName>
    <definedName name="K">#REF!</definedName>
    <definedName name="L_" localSheetId="0">#REF!</definedName>
    <definedName name="L_">#REF!</definedName>
    <definedName name="LIBOR" localSheetId="0">#REF!</definedName>
    <definedName name="LIBOR">#REF!</definedName>
    <definedName name="LIBOR180" localSheetId="0">#REF!</definedName>
    <definedName name="LIBOR180">#REF!</definedName>
    <definedName name="LIBOR30" localSheetId="0">#REF!</definedName>
    <definedName name="LIBOR30">#REF!</definedName>
    <definedName name="LIBOR360" localSheetId="0">#REF!</definedName>
    <definedName name="LIBOR360">#REF!</definedName>
    <definedName name="M" localSheetId="0">#REF!</definedName>
    <definedName name="M">#REF!</definedName>
    <definedName name="monto">#REF!</definedName>
    <definedName name="N" localSheetId="0">#REF!</definedName>
    <definedName name="N">#REF!</definedName>
    <definedName name="O" localSheetId="0">#REF!</definedName>
    <definedName name="O">#REF!</definedName>
    <definedName name="P" localSheetId="0">#REF!</definedName>
    <definedName name="P">#REF!</definedName>
    <definedName name="Q" localSheetId="0">#REF!</definedName>
    <definedName name="Q">#REF!</definedName>
    <definedName name="RML" localSheetId="0">#REF!</definedName>
    <definedName name="RML">#REF!</definedName>
    <definedName name="S" localSheetId="0">#REF!</definedName>
    <definedName name="S">#REF!</definedName>
    <definedName name="SCCGLD_CER">#REF!</definedName>
    <definedName name="SGHOJA1">#REF!</definedName>
    <definedName name="SGHOJA2">#REF!</definedName>
    <definedName name="T" localSheetId="0">#REF!</definedName>
    <definedName name="T">#REF!</definedName>
    <definedName name="tabla">#REF!</definedName>
    <definedName name="tasa">#REF!</definedName>
    <definedName name="tasainversion">#REF!</definedName>
    <definedName name="tc">#REF!</definedName>
    <definedName name="tc2011.">#REF!</definedName>
    <definedName name="tc2012.">#REF!</definedName>
    <definedName name="tc2013.">#REF!</definedName>
    <definedName name="tc2014.">#REF!</definedName>
    <definedName name="tc2015.">#REF!</definedName>
    <definedName name="tc216.">#REF!</definedName>
    <definedName name="tc217.">#REF!</definedName>
    <definedName name="ted">#REF!</definedName>
    <definedName name="TETP" localSheetId="0">#REF!</definedName>
    <definedName name="TETP">#REF!</definedName>
    <definedName name="_xlnm.Print_Titles" localSheetId="0">'Servicios Pagados'!$D:$D</definedName>
    <definedName name="TNT" localSheetId="0">#REF!</definedName>
    <definedName name="TNT">#REF!</definedName>
    <definedName name="TRRML" localSheetId="0">#REF!</definedName>
    <definedName name="TRRML">#REF!</definedName>
    <definedName name="U" localSheetId="0">#REF!</definedName>
    <definedName name="U">#REF!</definedName>
    <definedName name="V" localSheetId="0">#REF!</definedName>
    <definedName name="V">#REF!</definedName>
    <definedName name="valuevx">42.314159</definedName>
    <definedName name="W" localSheetId="0">#REF!</definedName>
    <definedName name="W">#REF!</definedName>
    <definedName name="X" localSheetId="0">#REF!</definedName>
    <definedName name="X">#REF!</definedName>
    <definedName name="Y" localSheetId="0">#REF!</definedName>
    <definedName name="Y">#REF!</definedName>
    <definedName name="Z" localSheetId="0">#REF!</definedName>
    <definedName name="Z">#REF!</definedName>
    <definedName name="Z_EDEF2A93_2952_11D7_8BE3_0050BA84BE19_.wvu.Cols" localSheetId="0" hidden="1">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Pagados'!#REF!,'Servicios Pagados'!#REF!</definedName>
    <definedName name="Z_EDEF2A93_2952_11D7_8BE3_0050BA84BE19_.wvu.PrintArea" localSheetId="0" hidden="1">'Servicios Pagados'!$D$1:$D$126</definedName>
    <definedName name="Z_EDEF2A93_2952_11D7_8BE3_0050BA84BE19_.wvu.PrintTitles" localSheetId="0" hidden="1">'Servicios Pagados'!$D:$D</definedName>
    <definedName name="Z_EDEF2A93_2952_11D7_8BE3_0050BA84BE19_.wvu.Rows" localSheetId="0" hidden="1">'Servicios Pagados'!#REF!,'Servicios Pagados'!$9:$58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S125" i="4" l="1"/>
  <c r="BE125" i="4"/>
  <c r="BD125" i="4" l="1"/>
  <c r="AR125" i="4"/>
  <c r="AQ125" i="4"/>
  <c r="BC125" i="4" l="1"/>
  <c r="BB125" i="4" l="1"/>
  <c r="AP125" i="4"/>
  <c r="AO125" i="4" l="1"/>
  <c r="BA125" i="4"/>
  <c r="AZ125" i="4" l="1"/>
  <c r="AN125" i="4"/>
  <c r="AM125" i="4" l="1"/>
  <c r="AY125" i="4"/>
  <c r="AX125" i="4" l="1"/>
  <c r="AL125" i="4"/>
  <c r="AW119" i="4" l="1"/>
  <c r="AW108" i="4"/>
  <c r="AW64" i="4"/>
  <c r="AW62" i="4" s="1"/>
  <c r="AW26" i="4"/>
  <c r="AW16" i="4"/>
  <c r="AW9" i="4"/>
  <c r="AK119" i="4"/>
  <c r="AK62" i="4" s="1"/>
  <c r="AK9" i="4"/>
  <c r="AK125" i="4" l="1"/>
  <c r="AW125" i="4"/>
  <c r="AJ125" i="4" l="1"/>
  <c r="AV125" i="4"/>
  <c r="BF125" i="4" l="1"/>
  <c r="AU125" i="4"/>
  <c r="AT125" i="4"/>
  <c r="AI125" i="4"/>
  <c r="AG125" i="4" l="1"/>
  <c r="Y64" i="4" l="1"/>
  <c r="AF125" i="4" l="1"/>
  <c r="AE125" i="4"/>
  <c r="AH125" i="4" l="1"/>
  <c r="AD125" i="4" l="1"/>
  <c r="AC125" i="4"/>
  <c r="AB119" i="4" l="1"/>
  <c r="AB108" i="4"/>
  <c r="AB95" i="4"/>
  <c r="AB64" i="4"/>
  <c r="AB54" i="4"/>
  <c r="AB50" i="4"/>
  <c r="AB26" i="4"/>
  <c r="AB23" i="4"/>
  <c r="AB16" i="4"/>
  <c r="AB11" i="4"/>
  <c r="AA119" i="4"/>
  <c r="AA108" i="4"/>
  <c r="AA95" i="4"/>
  <c r="AA64" i="4"/>
  <c r="AA54" i="4"/>
  <c r="AA50" i="4"/>
  <c r="AA26" i="4"/>
  <c r="AA23" i="4"/>
  <c r="AA16" i="4"/>
  <c r="AA11" i="4"/>
  <c r="AA9" i="4" l="1"/>
  <c r="AA62" i="4" l="1"/>
  <c r="AA125" i="4" s="1"/>
  <c r="AB62" i="4" l="1"/>
  <c r="AB9" i="4"/>
  <c r="AB125" i="4" l="1"/>
  <c r="Y26" i="4"/>
  <c r="Z11" i="4"/>
  <c r="Y11" i="4"/>
  <c r="Z119" i="4"/>
  <c r="Y119" i="4"/>
  <c r="W119" i="4"/>
  <c r="E11" i="4"/>
  <c r="F11" i="4"/>
  <c r="G11" i="4"/>
  <c r="I11" i="4"/>
  <c r="K11" i="4"/>
  <c r="L11" i="4"/>
  <c r="M11" i="4"/>
  <c r="N11" i="4"/>
  <c r="O11" i="4"/>
  <c r="P11" i="4"/>
  <c r="Q11" i="4"/>
  <c r="R11" i="4"/>
  <c r="S11" i="4"/>
  <c r="T11" i="4"/>
  <c r="U11" i="4"/>
  <c r="V11" i="4"/>
  <c r="W11" i="4"/>
  <c r="X11" i="4"/>
  <c r="H12" i="4"/>
  <c r="H11" i="4" s="1"/>
  <c r="J12" i="4"/>
  <c r="J11" i="4" s="1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Y16" i="4"/>
  <c r="Z16" i="4"/>
  <c r="E18" i="4"/>
  <c r="E16" i="4" s="1"/>
  <c r="F18" i="4"/>
  <c r="G18" i="4"/>
  <c r="G16" i="4" s="1"/>
  <c r="H18" i="4"/>
  <c r="I18" i="4"/>
  <c r="I16" i="4" s="1"/>
  <c r="J18" i="4"/>
  <c r="F21" i="4"/>
  <c r="H21" i="4"/>
  <c r="J21" i="4"/>
  <c r="O23" i="4"/>
  <c r="P23" i="4"/>
  <c r="Q23" i="4"/>
  <c r="R23" i="4"/>
  <c r="S23" i="4"/>
  <c r="T23" i="4"/>
  <c r="U23" i="4"/>
  <c r="V23" i="4"/>
  <c r="W23" i="4"/>
  <c r="X23" i="4"/>
  <c r="Y23" i="4"/>
  <c r="Z23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Z26" i="4"/>
  <c r="F27" i="4"/>
  <c r="H27" i="4"/>
  <c r="J27" i="4"/>
  <c r="F28" i="4"/>
  <c r="H28" i="4"/>
  <c r="J28" i="4"/>
  <c r="E29" i="4"/>
  <c r="F29" i="4"/>
  <c r="F38" i="4"/>
  <c r="H38" i="4"/>
  <c r="J38" i="4"/>
  <c r="E42" i="4"/>
  <c r="F42" i="4"/>
  <c r="G42" i="4"/>
  <c r="G26" i="4" s="1"/>
  <c r="H42" i="4"/>
  <c r="I42" i="4"/>
  <c r="I26" i="4" s="1"/>
  <c r="J42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S50" i="4"/>
  <c r="T50" i="4"/>
  <c r="U50" i="4"/>
  <c r="V50" i="4"/>
  <c r="W50" i="4"/>
  <c r="X50" i="4"/>
  <c r="Y50" i="4"/>
  <c r="Z50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S54" i="4"/>
  <c r="T54" i="4"/>
  <c r="U54" i="4"/>
  <c r="V54" i="4"/>
  <c r="W54" i="4"/>
  <c r="X54" i="4"/>
  <c r="Y54" i="4"/>
  <c r="Z54" i="4"/>
  <c r="E64" i="4"/>
  <c r="K64" i="4"/>
  <c r="L64" i="4"/>
  <c r="M64" i="4"/>
  <c r="N64" i="4"/>
  <c r="O64" i="4"/>
  <c r="P64" i="4"/>
  <c r="Q64" i="4"/>
  <c r="R64" i="4"/>
  <c r="S64" i="4"/>
  <c r="T64" i="4"/>
  <c r="U64" i="4"/>
  <c r="V64" i="4"/>
  <c r="W64" i="4"/>
  <c r="X64" i="4"/>
  <c r="Z64" i="4"/>
  <c r="F67" i="4"/>
  <c r="H67" i="4"/>
  <c r="J67" i="4"/>
  <c r="F68" i="4"/>
  <c r="H68" i="4"/>
  <c r="J68" i="4"/>
  <c r="F69" i="4"/>
  <c r="H69" i="4"/>
  <c r="J69" i="4"/>
  <c r="F70" i="4"/>
  <c r="F76" i="4"/>
  <c r="H76" i="4"/>
  <c r="J76" i="4"/>
  <c r="F77" i="4"/>
  <c r="H77" i="4"/>
  <c r="I77" i="4"/>
  <c r="I64" i="4" s="1"/>
  <c r="J77" i="4"/>
  <c r="F78" i="4"/>
  <c r="G78" i="4"/>
  <c r="H78" i="4"/>
  <c r="F79" i="4"/>
  <c r="G79" i="4"/>
  <c r="H79" i="4"/>
  <c r="F80" i="4"/>
  <c r="H80" i="4"/>
  <c r="E95" i="4"/>
  <c r="G95" i="4"/>
  <c r="I95" i="4"/>
  <c r="K95" i="4"/>
  <c r="L95" i="4"/>
  <c r="M95" i="4"/>
  <c r="N95" i="4"/>
  <c r="O95" i="4"/>
  <c r="P95" i="4"/>
  <c r="Q95" i="4"/>
  <c r="R95" i="4"/>
  <c r="S95" i="4"/>
  <c r="T95" i="4"/>
  <c r="U95" i="4"/>
  <c r="V95" i="4"/>
  <c r="W95" i="4"/>
  <c r="X95" i="4"/>
  <c r="Y95" i="4"/>
  <c r="Z95" i="4"/>
  <c r="F101" i="4"/>
  <c r="F95" i="4" s="1"/>
  <c r="H101" i="4"/>
  <c r="H95" i="4" s="1"/>
  <c r="J101" i="4"/>
  <c r="J95" i="4" s="1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S108" i="4"/>
  <c r="T108" i="4"/>
  <c r="U108" i="4"/>
  <c r="V108" i="4"/>
  <c r="W108" i="4"/>
  <c r="X108" i="4"/>
  <c r="Y108" i="4"/>
  <c r="Z108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S119" i="4"/>
  <c r="T119" i="4"/>
  <c r="U119" i="4"/>
  <c r="V119" i="4"/>
  <c r="X119" i="4"/>
  <c r="F26" i="4"/>
  <c r="H16" i="4" l="1"/>
  <c r="S62" i="4"/>
  <c r="O62" i="4"/>
  <c r="J64" i="4"/>
  <c r="J62" i="4" s="1"/>
  <c r="Y62" i="4"/>
  <c r="W62" i="4"/>
  <c r="K62" i="4"/>
  <c r="U9" i="4"/>
  <c r="G64" i="4"/>
  <c r="G62" i="4" s="1"/>
  <c r="Y9" i="4"/>
  <c r="Q9" i="4"/>
  <c r="M9" i="4"/>
  <c r="H26" i="4"/>
  <c r="H9" i="4" s="1"/>
  <c r="X9" i="4"/>
  <c r="P9" i="4"/>
  <c r="V62" i="4"/>
  <c r="N62" i="4"/>
  <c r="H64" i="4"/>
  <c r="H62" i="4" s="1"/>
  <c r="T9" i="4"/>
  <c r="L9" i="4"/>
  <c r="R62" i="4"/>
  <c r="F16" i="4"/>
  <c r="F9" i="4" s="1"/>
  <c r="E26" i="4"/>
  <c r="E9" i="4" s="1"/>
  <c r="J16" i="4"/>
  <c r="Z62" i="4"/>
  <c r="X62" i="4"/>
  <c r="T62" i="4"/>
  <c r="P62" i="4"/>
  <c r="L62" i="4"/>
  <c r="E62" i="4"/>
  <c r="I62" i="4"/>
  <c r="F64" i="4"/>
  <c r="F62" i="4" s="1"/>
  <c r="U62" i="4"/>
  <c r="Q62" i="4"/>
  <c r="M62" i="4"/>
  <c r="J26" i="4"/>
  <c r="N9" i="4"/>
  <c r="Z9" i="4"/>
  <c r="V9" i="4"/>
  <c r="R9" i="4"/>
  <c r="W9" i="4"/>
  <c r="S9" i="4"/>
  <c r="O9" i="4"/>
  <c r="K9" i="4"/>
  <c r="G9" i="4"/>
  <c r="I9" i="4"/>
  <c r="K125" i="4" l="1"/>
  <c r="S125" i="4"/>
  <c r="O125" i="4"/>
  <c r="W125" i="4"/>
  <c r="U125" i="4"/>
  <c r="V125" i="4"/>
  <c r="M125" i="4"/>
  <c r="N125" i="4"/>
  <c r="P125" i="4"/>
  <c r="I125" i="4"/>
  <c r="X125" i="4"/>
  <c r="R125" i="4"/>
  <c r="Y125" i="4"/>
  <c r="H125" i="4"/>
  <c r="J9" i="4"/>
  <c r="J125" i="4" s="1"/>
  <c r="L125" i="4"/>
  <c r="Q125" i="4"/>
  <c r="G125" i="4"/>
  <c r="T125" i="4"/>
  <c r="E125" i="4"/>
  <c r="F125" i="4"/>
  <c r="Z125" i="4"/>
</calcChain>
</file>

<file path=xl/comments1.xml><?xml version="1.0" encoding="utf-8"?>
<comments xmlns="http://schemas.openxmlformats.org/spreadsheetml/2006/main">
  <authors>
    <author>D30474752</author>
  </authors>
  <commentList>
    <comment ref="D84" authorId="0" shapeId="0">
      <text>
        <r>
          <rPr>
            <b/>
            <sz val="8"/>
            <color indexed="81"/>
            <rFont val="Tahoma"/>
            <family val="2"/>
          </rPr>
          <t>D30474752:</t>
        </r>
        <r>
          <rPr>
            <sz val="8"/>
            <color indexed="81"/>
            <rFont val="Tahoma"/>
            <family val="2"/>
          </rPr>
          <t xml:space="preserve">
En la planilla de pagos de ACIF figura como </t>
        </r>
        <r>
          <rPr>
            <b/>
            <sz val="8"/>
            <color indexed="81"/>
            <rFont val="Tahoma"/>
            <family val="2"/>
          </rPr>
          <t>BID</t>
        </r>
        <r>
          <rPr>
            <sz val="8"/>
            <color indexed="81"/>
            <rFont val="Tahoma"/>
            <family val="2"/>
          </rPr>
          <t xml:space="preserve"> 7425 </t>
        </r>
      </text>
    </comment>
  </commentList>
</comments>
</file>

<file path=xl/sharedStrings.xml><?xml version="1.0" encoding="utf-8"?>
<sst xmlns="http://schemas.openxmlformats.org/spreadsheetml/2006/main" count="163" uniqueCount="136">
  <si>
    <t>BID 1201/OC-AR</t>
  </si>
  <si>
    <t>Ente Nacional de Administración de Bienes Ferroviarios Dto. 2435/99</t>
  </si>
  <si>
    <t xml:space="preserve">Emisión CECOR - Ley Nº 8482 </t>
  </si>
  <si>
    <t>Convenio Desarrollo de Obras de Infraestructura</t>
  </si>
  <si>
    <t>Convenio Desarrollo de Obras de Infraestructura 2007</t>
  </si>
  <si>
    <t>Programa de Unificación Monetaria - BODEN 2011</t>
  </si>
  <si>
    <t xml:space="preserve">BID 392/OC-AR - Secret. Rec. Hídricos Nac. </t>
  </si>
  <si>
    <t xml:space="preserve">BID 545/OC-AR - ENOHSA (ex-COFAPyS) </t>
  </si>
  <si>
    <t>ICO Ley 8388 - Dtos. 1615/94 -1182/95 (FOCOEX)</t>
  </si>
  <si>
    <t>BCH Ley 8388 - Dtos. 1615/94 -1182/95 (FOCOEX)</t>
  </si>
  <si>
    <t>ICO Ley 8374 - Dtos. 2133/94 -1181/95 (DRAGADOS)</t>
  </si>
  <si>
    <t>BCH Ley 8374 - Dtos. 2133/94 -1181/95 (DRAGADOS)</t>
  </si>
  <si>
    <t>Credit Suisse First Boston Ley 8826 Contrato de Ant. Garant.</t>
  </si>
  <si>
    <t>BIRF 3860/AR</t>
  </si>
  <si>
    <t>BID 830/OC-AR y 932/SF-AR</t>
  </si>
  <si>
    <t>BID 619/OC-AR</t>
  </si>
  <si>
    <t>ICO</t>
  </si>
  <si>
    <t xml:space="preserve">BID - Ley Nº 7940 </t>
  </si>
  <si>
    <t>Ministerio de Finanzas de la Provincia de Córdoba</t>
  </si>
  <si>
    <t>Contaduría General</t>
  </si>
  <si>
    <t>Dirección de Uso de Crédito y Deuda Pública</t>
  </si>
  <si>
    <t>Acreedor - Operación</t>
  </si>
  <si>
    <t>Amortización</t>
  </si>
  <si>
    <t>Interés</t>
  </si>
  <si>
    <t>1. DEUDAS EN PESOS</t>
  </si>
  <si>
    <t>1.1. Entidades bancarias</t>
  </si>
  <si>
    <t>Banco de Córdoba (TITAM)</t>
  </si>
  <si>
    <t>1.2. Organismos Multilaterales</t>
  </si>
  <si>
    <t xml:space="preserve">BIRF 3836/AR - Dto. 2151/99 Conv. Fondo Transf. Sec. Púb. Pciales. </t>
  </si>
  <si>
    <t>1.3. Proveedores y Contratistas</t>
  </si>
  <si>
    <t>1.4. Gobierno Nacional</t>
  </si>
  <si>
    <t>Bonos Garantizados - Dto. 1579/2002 del PEN - Canje Provincial</t>
  </si>
  <si>
    <t>Bonos Garantizados - Dto. 1579/2002 del PEN - Canje Municipal</t>
  </si>
  <si>
    <t>Programa de Financiamiento Ordenado 2002 - Ley 9038</t>
  </si>
  <si>
    <t>Programa de Financiamiento Ordenado 2003 - Ley 9093</t>
  </si>
  <si>
    <t>Programa de Financiamiento Ordenado 2004</t>
  </si>
  <si>
    <t>Programa de Asistencia Financiera 2005</t>
  </si>
  <si>
    <t>Programa de Asistencia Financiera 2006</t>
  </si>
  <si>
    <t>Conv. Fondo Transf. Sec. Púb. Pciales. - Vehíc. Policía y Ambulancias</t>
  </si>
  <si>
    <t>Programa de Asistencia Financiera 2007</t>
  </si>
  <si>
    <t>Programa de Asistencia Financiera 2008</t>
  </si>
  <si>
    <t>Programa de Asistencia Financiera 2009</t>
  </si>
  <si>
    <t>1.5. CECOR y LECOP Córdoba</t>
  </si>
  <si>
    <t>1.6. Pasivo Consolidado</t>
  </si>
  <si>
    <t>TICOP</t>
  </si>
  <si>
    <t>2. DEUDAS EN MONEDA EXTRANJERA</t>
  </si>
  <si>
    <t>2.1. Organismos Multilaterales</t>
  </si>
  <si>
    <t>BID 1193/OC-AR (PROAPS)</t>
  </si>
  <si>
    <t>BID 1287/OC-AR</t>
  </si>
  <si>
    <t>BID 899- BIRF 4150</t>
  </si>
  <si>
    <t>PROSAP II  BID 899 1</t>
  </si>
  <si>
    <t>BIRF 3280/AR</t>
  </si>
  <si>
    <t>BIRF 3877/AR</t>
  </si>
  <si>
    <t>BIRF 4093/AR (Caminos Provinciales)</t>
  </si>
  <si>
    <t>BIRF 4273/AR (El Niño)</t>
  </si>
  <si>
    <t>BIRF 4585/AR</t>
  </si>
  <si>
    <t>BIRF 7352</t>
  </si>
  <si>
    <t>BIRF 2920</t>
  </si>
  <si>
    <t>PDM II</t>
  </si>
  <si>
    <t>2.3. Títulos Públicos</t>
  </si>
  <si>
    <t>TOTAL (en pesos)</t>
  </si>
  <si>
    <t>2.4. Varios</t>
  </si>
  <si>
    <t>Letras del Tesoro de la Provincia de Córdoba</t>
  </si>
  <si>
    <t>FIDA 713-AR</t>
  </si>
  <si>
    <t>Interés (*)</t>
  </si>
  <si>
    <t>(*)NOTA: Se incluyen los gastos y comisiones</t>
  </si>
  <si>
    <t>Banco Provincia de Buenos Aires - Ente Peaje</t>
  </si>
  <si>
    <t xml:space="preserve">Fondo Fiduciario de Inf Regional  </t>
  </si>
  <si>
    <t xml:space="preserve">BID 857/OC-AR </t>
  </si>
  <si>
    <t>PROMEBA -BID 940</t>
  </si>
  <si>
    <t>PDSPC - BID 1765</t>
  </si>
  <si>
    <t>PIVIP - BIRF 7301</t>
  </si>
  <si>
    <t>PMCP - BIRF 7398</t>
  </si>
  <si>
    <t>PROSAP II  BIRF 7425</t>
  </si>
  <si>
    <t>BIRF 7597/AR (PROSAP)</t>
  </si>
  <si>
    <t>BONCOR</t>
  </si>
  <si>
    <t>BONCOR II Segunda Emisión</t>
  </si>
  <si>
    <t>BONCOR II Tercera Emisión</t>
  </si>
  <si>
    <t>Título a 360 días</t>
  </si>
  <si>
    <t>Título a 360 días -Serie II</t>
  </si>
  <si>
    <t>Compra Vta de Acciones y Reest de Pasivos Dto 165/2010</t>
  </si>
  <si>
    <t>Compra Vta  de Acciones CODI S.A.</t>
  </si>
  <si>
    <t>Compra Vta  de Acciones DELTA S.A.</t>
  </si>
  <si>
    <t xml:space="preserve">ICBC (Argentina) S.A. ex Standard Bank </t>
  </si>
  <si>
    <t>BIRF 7833</t>
  </si>
  <si>
    <t>Conv. Nación Pvcia.- Emergencia por inundaciones Dto 261/15</t>
  </si>
  <si>
    <t>Título Internacional al 7,125% con vencimiento 2021</t>
  </si>
  <si>
    <t>CAF "CANAL LOS MOLINOS CÓRDOBA"</t>
  </si>
  <si>
    <t>Programa Federal de Desendeudamiento</t>
  </si>
  <si>
    <t>Título al 7,125% con vencimiento 2026</t>
  </si>
  <si>
    <t>Título Internacional al 7,45% con vencimiento 2024</t>
  </si>
  <si>
    <t>Convenio Reprogramación PFD</t>
  </si>
  <si>
    <t>Título Internacional al 7,125% con vencimiento 2027</t>
  </si>
  <si>
    <t>Préstamos IFC</t>
  </si>
  <si>
    <t>Carta de Crédito MOTOROLA</t>
  </si>
  <si>
    <t>Préstamos IFC - Etapa II</t>
  </si>
  <si>
    <t>Préstamo Fondo Fiduciario para el Desarrollo Provincial</t>
  </si>
  <si>
    <t>FONDAGRO</t>
  </si>
  <si>
    <t>DEUTSCHE BANK- ESC. PROA</t>
  </si>
  <si>
    <t>DEUTSCHE BANK- HOS.SUROESTE</t>
  </si>
  <si>
    <t>Préstamo BBVA (Hospitales)</t>
  </si>
  <si>
    <t>Amortización ENERO</t>
  </si>
  <si>
    <t>Amortización ACUMULADA</t>
  </si>
  <si>
    <t>Interés (*) ENERO</t>
  </si>
  <si>
    <t>Interés (*) ACUMULADO</t>
  </si>
  <si>
    <t>BID 1134/OC-AR BID 940</t>
  </si>
  <si>
    <t>OFID</t>
  </si>
  <si>
    <t>FONDO KUWAITI</t>
  </si>
  <si>
    <t>2.2. Bancos Extranjeros y Otros Organismos</t>
  </si>
  <si>
    <t xml:space="preserve">Servicios de Deuda Pagados año 2005 a 2020 - Consolidado </t>
  </si>
  <si>
    <t>Amortización FEBRERO</t>
  </si>
  <si>
    <t>Interés (*) FEBRERO</t>
  </si>
  <si>
    <t>Crédito ARSET I 0072</t>
  </si>
  <si>
    <t>Interés (*) MARZO</t>
  </si>
  <si>
    <t>Amortización MARZO</t>
  </si>
  <si>
    <t>DEUTSCHE BANK- MATERNIDAD</t>
  </si>
  <si>
    <t>Interés (*) ABRIL</t>
  </si>
  <si>
    <t>Amortización ABRIL</t>
  </si>
  <si>
    <t>Amortización MAYO</t>
  </si>
  <si>
    <t>Interés (*) MAYO</t>
  </si>
  <si>
    <t>Amortización JUNIO</t>
  </si>
  <si>
    <t>Interés (*) JUNIO</t>
  </si>
  <si>
    <t>Títulos Proveedores</t>
  </si>
  <si>
    <t>Interés (*) JULIO</t>
  </si>
  <si>
    <t>Amortización JULIO</t>
  </si>
  <si>
    <t>Interés (*) AGOSTO</t>
  </si>
  <si>
    <t>Amortización AGOSTO</t>
  </si>
  <si>
    <t>Interés (*) SEPTIEMBRE</t>
  </si>
  <si>
    <t>Amortización SEPTIEMBRE</t>
  </si>
  <si>
    <t>1.7. Varios</t>
  </si>
  <si>
    <t>1.8. Títulos Públicos</t>
  </si>
  <si>
    <t>Interés (*) OCTUBRE</t>
  </si>
  <si>
    <t>Amortización OCTUBRE</t>
  </si>
  <si>
    <t>(**) Pagado a Noviembre 2020</t>
  </si>
  <si>
    <t>Interés (*) NOVIEMBRE</t>
  </si>
  <si>
    <t>Amortización 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</si>
</sst>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5" formatCode="_ * #,##0.00_ ;_ * \-#,##0.00_ ;_ * &quot;-&quot;??_ ;_ @_ "/>
    <numFmt numFmtId="166" formatCode="_-* #,##0\ _P_t_a_-;\-* #,##0\ _P_t_a_-;_-* &quot;-&quot;\ _P_t_a_-;_-@_-"/>
    <numFmt numFmtId="167" formatCode="_(* #,##0_);_(* \(#,##0\);_(* &quot;-&quot;_);_(@_)"/>
    <numFmt numFmtId="168" formatCode="_(* #,##0.00_);_(* \(#,##0.00\);_(* &quot;-&quot;??_);_(@_)"/>
    <numFmt numFmtId="171" formatCode="_ [$€-2]\ * #,##0.00_ ;_ [$€-2]\ * \-#,##0.00_ ;_ [$€-2]\ * &quot;-&quot;??_ "/>
    <numFmt numFmtId="172" formatCode="#.##0,"/>
    <numFmt numFmtId="173" formatCode="#.##000"/>
    <numFmt numFmtId="174" formatCode="&quot;$&quot;#,#00"/>
    <numFmt numFmtId="175" formatCode="#,#00"/>
    <numFmt numFmtId="176" formatCode="%#,#00"/>
    <numFmt numFmtId="177" formatCode="#,"/>
    <numFmt numFmtId="178" formatCode="m\o\n\th\ d\,\ yyyy"/>
    <numFmt numFmtId="184" formatCode="&quot;$&quot;#,##0\ ;\(&quot;$&quot;#,##0\)"/>
  </numFmts>
  <fonts count="40" x14ac:knownFonts="1">
    <font>
      <sz val="10"/>
      <name val="Arial"/>
    </font>
    <font>
      <sz val="10"/>
      <name val="Arial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"/>
      <color indexed="8"/>
      <name val="Courier"/>
      <family val="3"/>
    </font>
    <font>
      <sz val="12"/>
      <color indexed="8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6"/>
      <color indexed="62"/>
      <name val="Arial"/>
      <family val="2"/>
    </font>
    <font>
      <b/>
      <sz val="8"/>
      <color indexed="9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24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sz val="6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173" fontId="2" fillId="0" borderId="0">
      <protection locked="0"/>
    </xf>
    <xf numFmtId="174" fontId="2" fillId="0" borderId="0">
      <protection locked="0"/>
    </xf>
    <xf numFmtId="178" fontId="2" fillId="0" borderId="0">
      <protection locked="0"/>
    </xf>
    <xf numFmtId="0" fontId="16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7" fillId="7" borderId="1" applyNumberFormat="0" applyAlignment="0" applyProtection="0"/>
    <xf numFmtId="171" fontId="1" fillId="0" borderId="0" applyFont="0" applyFill="0" applyBorder="0" applyAlignment="0" applyProtection="0"/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2" fillId="0" borderId="0">
      <protection locked="0"/>
    </xf>
    <xf numFmtId="172" fontId="3" fillId="0" borderId="0">
      <protection locked="0"/>
    </xf>
    <xf numFmtId="0" fontId="27" fillId="0" borderId="0" applyFont="0" applyFill="0" applyBorder="0" applyAlignment="0" applyProtection="0"/>
    <xf numFmtId="2" fontId="27" fillId="0" borderId="0" applyFont="0" applyFill="0" applyBorder="0" applyAlignment="0" applyProtection="0"/>
    <xf numFmtId="175" fontId="2" fillId="0" borderId="0">
      <protection locked="0"/>
    </xf>
    <xf numFmtId="177" fontId="4" fillId="0" borderId="0">
      <protection locked="0"/>
    </xf>
    <xf numFmtId="177" fontId="4" fillId="0" borderId="0">
      <protection locked="0"/>
    </xf>
    <xf numFmtId="0" fontId="5" fillId="0" borderId="0">
      <protection locked="0"/>
    </xf>
    <xf numFmtId="0" fontId="28" fillId="3" borderId="0" applyNumberFormat="0" applyBorder="0" applyAlignment="0" applyProtection="0"/>
    <xf numFmtId="168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84" fontId="27" fillId="0" borderId="0" applyFont="0" applyFill="0" applyBorder="0" applyAlignment="0" applyProtection="0"/>
    <xf numFmtId="0" fontId="29" fillId="22" borderId="0" applyNumberFormat="0" applyBorder="0" applyAlignment="0" applyProtection="0"/>
    <xf numFmtId="0" fontId="6" fillId="0" borderId="0"/>
    <xf numFmtId="0" fontId="8" fillId="23" borderId="4" applyNumberFormat="0" applyFont="0" applyAlignment="0" applyProtection="0"/>
    <xf numFmtId="176" fontId="2" fillId="0" borderId="0">
      <protection locked="0"/>
    </xf>
    <xf numFmtId="3" fontId="27" fillId="0" borderId="0" applyFont="0" applyFill="0" applyBorder="0" applyAlignment="0" applyProtection="0"/>
    <xf numFmtId="0" fontId="30" fillId="16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16" fillId="0" borderId="8" applyNumberFormat="0" applyFill="0" applyAlignment="0" applyProtection="0"/>
    <xf numFmtId="177" fontId="2" fillId="0" borderId="9">
      <protection locked="0"/>
    </xf>
  </cellStyleXfs>
  <cellXfs count="66">
    <xf numFmtId="0" fontId="0" fillId="0" borderId="0" xfId="0"/>
    <xf numFmtId="0" fontId="7" fillId="0" borderId="0" xfId="0" applyFont="1" applyAlignment="1">
      <alignment horizontal="left"/>
    </xf>
    <xf numFmtId="49" fontId="20" fillId="0" borderId="0" xfId="0" applyNumberFormat="1" applyFont="1" applyFill="1" applyBorder="1" applyAlignment="1">
      <alignment horizontal="left" vertical="center"/>
    </xf>
    <xf numFmtId="0" fontId="21" fillId="0" borderId="0" xfId="0" applyFont="1" applyFill="1"/>
    <xf numFmtId="0" fontId="22" fillId="0" borderId="0" xfId="0" applyFont="1" applyFill="1"/>
    <xf numFmtId="0" fontId="23" fillId="0" borderId="0" xfId="0" applyFont="1"/>
    <xf numFmtId="4" fontId="20" fillId="0" borderId="0" xfId="0" applyNumberFormat="1" applyFont="1" applyFill="1"/>
    <xf numFmtId="49" fontId="21" fillId="0" borderId="0" xfId="0" applyNumberFormat="1" applyFont="1" applyFill="1" applyBorder="1" applyAlignment="1">
      <alignment horizontal="center" vertical="center"/>
    </xf>
    <xf numFmtId="1" fontId="24" fillId="24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0" fontId="24" fillId="0" borderId="11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1" fillId="0" borderId="14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18" fillId="0" borderId="15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 vertical="center"/>
    </xf>
    <xf numFmtId="3" fontId="18" fillId="0" borderId="17" xfId="0" applyNumberFormat="1" applyFont="1" applyFill="1" applyBorder="1" applyAlignment="1">
      <alignment wrapText="1"/>
    </xf>
    <xf numFmtId="0" fontId="24" fillId="0" borderId="15" xfId="0" applyFont="1" applyFill="1" applyBorder="1" applyAlignment="1">
      <alignment horizontal="left"/>
    </xf>
    <xf numFmtId="3" fontId="19" fillId="0" borderId="17" xfId="0" applyNumberFormat="1" applyFont="1" applyFill="1" applyBorder="1" applyAlignment="1">
      <alignment wrapText="1"/>
    </xf>
    <xf numFmtId="4" fontId="20" fillId="0" borderId="15" xfId="0" applyNumberFormat="1" applyFont="1" applyFill="1" applyBorder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49" fontId="18" fillId="0" borderId="16" xfId="0" applyNumberFormat="1" applyFont="1" applyFill="1" applyBorder="1" applyAlignment="1">
      <alignment vertical="center"/>
    </xf>
    <xf numFmtId="4" fontId="20" fillId="0" borderId="0" xfId="0" applyNumberFormat="1" applyFont="1" applyFill="1" applyAlignment="1">
      <alignment vertical="center"/>
    </xf>
    <xf numFmtId="49" fontId="19" fillId="0" borderId="16" xfId="0" applyNumberFormat="1" applyFont="1" applyFill="1" applyBorder="1" applyAlignment="1">
      <alignment vertical="center"/>
    </xf>
    <xf numFmtId="3" fontId="19" fillId="0" borderId="17" xfId="0" applyNumberFormat="1" applyFont="1" applyFill="1" applyBorder="1" applyAlignment="1">
      <alignment vertical="center"/>
    </xf>
    <xf numFmtId="0" fontId="20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4" fontId="20" fillId="0" borderId="18" xfId="0" applyNumberFormat="1" applyFont="1" applyFill="1" applyBorder="1" applyAlignment="1">
      <alignment vertical="center"/>
    </xf>
    <xf numFmtId="4" fontId="18" fillId="0" borderId="19" xfId="0" applyNumberFormat="1" applyFont="1" applyFill="1" applyBorder="1" applyAlignment="1">
      <alignment vertical="center"/>
    </xf>
    <xf numFmtId="49" fontId="18" fillId="0" borderId="20" xfId="0" applyNumberFormat="1" applyFont="1" applyFill="1" applyBorder="1" applyAlignment="1">
      <alignment vertical="center"/>
    </xf>
    <xf numFmtId="3" fontId="18" fillId="0" borderId="21" xfId="0" applyNumberFormat="1" applyFont="1" applyFill="1" applyBorder="1" applyAlignment="1">
      <alignment vertical="center"/>
    </xf>
    <xf numFmtId="3" fontId="20" fillId="0" borderId="0" xfId="0" applyNumberFormat="1" applyFont="1" applyFill="1"/>
    <xf numFmtId="49" fontId="20" fillId="0" borderId="0" xfId="0" applyNumberFormat="1" applyFont="1" applyFill="1"/>
    <xf numFmtId="4" fontId="18" fillId="0" borderId="0" xfId="0" applyNumberFormat="1" applyFont="1" applyFill="1"/>
    <xf numFmtId="4" fontId="24" fillId="0" borderId="0" xfId="0" applyNumberFormat="1" applyFont="1" applyFill="1"/>
    <xf numFmtId="0" fontId="21" fillId="0" borderId="17" xfId="0" applyFont="1" applyFill="1" applyBorder="1" applyAlignment="1">
      <alignment wrapText="1"/>
    </xf>
    <xf numFmtId="4" fontId="20" fillId="0" borderId="17" xfId="0" applyNumberFormat="1" applyFont="1" applyFill="1" applyBorder="1" applyAlignment="1">
      <alignment vertical="center"/>
    </xf>
    <xf numFmtId="4" fontId="20" fillId="0" borderId="21" xfId="0" applyNumberFormat="1" applyFont="1" applyFill="1" applyBorder="1" applyAlignment="1">
      <alignment vertical="center"/>
    </xf>
    <xf numFmtId="49" fontId="18" fillId="0" borderId="0" xfId="0" applyNumberFormat="1" applyFont="1" applyFill="1"/>
    <xf numFmtId="0" fontId="36" fillId="0" borderId="0" xfId="0" applyFont="1" applyFill="1"/>
    <xf numFmtId="0" fontId="36" fillId="0" borderId="14" xfId="0" applyFont="1" applyFill="1" applyBorder="1" applyAlignment="1">
      <alignment wrapText="1"/>
    </xf>
    <xf numFmtId="4" fontId="37" fillId="0" borderId="21" xfId="0" applyNumberFormat="1" applyFont="1" applyFill="1" applyBorder="1" applyAlignment="1">
      <alignment vertical="center"/>
    </xf>
    <xf numFmtId="4" fontId="37" fillId="0" borderId="0" xfId="0" applyNumberFormat="1" applyFont="1" applyFill="1"/>
    <xf numFmtId="1" fontId="38" fillId="24" borderId="10" xfId="0" applyNumberFormat="1" applyFont="1" applyFill="1" applyBorder="1" applyAlignment="1">
      <alignment horizontal="center" vertical="center"/>
    </xf>
    <xf numFmtId="4" fontId="39" fillId="0" borderId="0" xfId="0" applyNumberFormat="1" applyFont="1" applyFill="1"/>
    <xf numFmtId="4" fontId="39" fillId="0" borderId="0" xfId="0" applyNumberFormat="1" applyFont="1" applyFill="1" applyAlignment="1">
      <alignment horizontal="right"/>
    </xf>
    <xf numFmtId="0" fontId="36" fillId="25" borderId="14" xfId="0" applyFont="1" applyFill="1" applyBorder="1" applyAlignment="1">
      <alignment wrapText="1"/>
    </xf>
    <xf numFmtId="3" fontId="18" fillId="25" borderId="17" xfId="0" applyNumberFormat="1" applyFont="1" applyFill="1" applyBorder="1" applyAlignment="1">
      <alignment wrapText="1"/>
    </xf>
    <xf numFmtId="3" fontId="19" fillId="25" borderId="17" xfId="0" applyNumberFormat="1" applyFont="1" applyFill="1" applyBorder="1" applyAlignment="1">
      <alignment wrapText="1"/>
    </xf>
    <xf numFmtId="4" fontId="37" fillId="25" borderId="21" xfId="0" applyNumberFormat="1" applyFont="1" applyFill="1" applyBorder="1" applyAlignment="1">
      <alignment vertical="center"/>
    </xf>
    <xf numFmtId="4" fontId="39" fillId="25" borderId="0" xfId="0" applyNumberFormat="1" applyFont="1" applyFill="1"/>
    <xf numFmtId="49" fontId="19" fillId="25" borderId="16" xfId="0" applyNumberFormat="1" applyFont="1" applyFill="1" applyBorder="1" applyAlignment="1">
      <alignment vertical="center"/>
    </xf>
    <xf numFmtId="0" fontId="19" fillId="0" borderId="16" xfId="0" applyFont="1" applyFill="1" applyBorder="1" applyAlignment="1">
      <alignment horizontal="left"/>
    </xf>
    <xf numFmtId="0" fontId="36" fillId="25" borderId="17" xfId="0" applyFont="1" applyFill="1" applyBorder="1" applyAlignment="1">
      <alignment wrapText="1"/>
    </xf>
    <xf numFmtId="4" fontId="20" fillId="0" borderId="21" xfId="0" applyNumberFormat="1" applyFont="1" applyFill="1" applyBorder="1"/>
    <xf numFmtId="3" fontId="24" fillId="24" borderId="22" xfId="0" applyNumberFormat="1" applyFont="1" applyFill="1" applyBorder="1" applyAlignment="1">
      <alignment horizontal="center"/>
    </xf>
    <xf numFmtId="3" fontId="24" fillId="24" borderId="24" xfId="0" applyNumberFormat="1" applyFont="1" applyFill="1" applyBorder="1" applyAlignment="1">
      <alignment horizontal="center"/>
    </xf>
    <xf numFmtId="3" fontId="38" fillId="24" borderId="23" xfId="0" applyNumberFormat="1" applyFont="1" applyFill="1" applyBorder="1" applyAlignment="1">
      <alignment horizontal="center"/>
    </xf>
    <xf numFmtId="3" fontId="24" fillId="24" borderId="23" xfId="0" applyNumberFormat="1" applyFont="1" applyFill="1" applyBorder="1" applyAlignment="1">
      <alignment horizontal="center"/>
    </xf>
    <xf numFmtId="3" fontId="38" fillId="24" borderId="22" xfId="0" applyNumberFormat="1" applyFont="1" applyFill="1" applyBorder="1" applyAlignment="1">
      <alignment horizontal="center"/>
    </xf>
    <xf numFmtId="3" fontId="24" fillId="24" borderId="22" xfId="0" applyNumberFormat="1" applyFont="1" applyFill="1" applyBorder="1" applyAlignment="1">
      <alignment horizontal="center" vertical="center"/>
    </xf>
    <xf numFmtId="3" fontId="24" fillId="24" borderId="24" xfId="0" applyNumberFormat="1" applyFont="1" applyFill="1" applyBorder="1" applyAlignment="1">
      <alignment horizontal="center" vertical="center"/>
    </xf>
    <xf numFmtId="3" fontId="24" fillId="24" borderId="23" xfId="0" applyNumberFormat="1" applyFont="1" applyFill="1" applyBorder="1" applyAlignment="1">
      <alignment horizontal="center" vertical="center"/>
    </xf>
  </cellXfs>
  <cellStyles count="67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abecera 1" xfId="20"/>
    <cellStyle name="Cabecera 2" xfId="21"/>
    <cellStyle name="Cálculo" xfId="22" builtinId="22" customBuiltin="1"/>
    <cellStyle name="Celda de comprobación" xfId="23" builtinId="23" customBuiltin="1"/>
    <cellStyle name="Celda vinculada" xfId="24" builtinId="24" customBuiltin="1"/>
    <cellStyle name="Comma" xfId="25"/>
    <cellStyle name="Currency" xfId="26"/>
    <cellStyle name="Date" xfId="27"/>
    <cellStyle name="Encabezado 1" xfId="63" builtinId="16" customBuiltin="1"/>
    <cellStyle name="Encabezado 4" xfId="28" builtinId="19" customBuiltin="1"/>
    <cellStyle name="Énfasis1" xfId="29" builtinId="29" customBuiltin="1"/>
    <cellStyle name="Énfasis2" xfId="30" builtinId="33" customBuiltin="1"/>
    <cellStyle name="Énfasis3" xfId="31" builtinId="37" customBuiltin="1"/>
    <cellStyle name="Énfasis4" xfId="32" builtinId="41" customBuiltin="1"/>
    <cellStyle name="Énfasis5" xfId="33" builtinId="45" customBuiltin="1"/>
    <cellStyle name="Énfasis6" xfId="34" builtinId="49" customBuiltin="1"/>
    <cellStyle name="Entrada" xfId="35" builtinId="20" customBuiltin="1"/>
    <cellStyle name="Euro" xfId="36"/>
    <cellStyle name="F2" xfId="37"/>
    <cellStyle name="F3" xfId="38"/>
    <cellStyle name="F4" xfId="39"/>
    <cellStyle name="F5" xfId="40"/>
    <cellStyle name="F6" xfId="41"/>
    <cellStyle name="F7" xfId="42"/>
    <cellStyle name="F8" xfId="43"/>
    <cellStyle name="Fecha" xfId="44"/>
    <cellStyle name="Fijo" xfId="45"/>
    <cellStyle name="Fixed" xfId="46"/>
    <cellStyle name="Heading1" xfId="47"/>
    <cellStyle name="Heading2" xfId="48"/>
    <cellStyle name="Hipervínculo v" xfId="49"/>
    <cellStyle name="Incorrecto" xfId="50" builtinId="27" customBuiltin="1"/>
    <cellStyle name="Millares 2" xfId="51"/>
    <cellStyle name="Millares 3" xfId="52"/>
    <cellStyle name="Monetario0" xfId="53"/>
    <cellStyle name="Neutral" xfId="54" builtinId="28" customBuiltin="1"/>
    <cellStyle name="Normal" xfId="0" builtinId="0"/>
    <cellStyle name="Normal 2" xfId="55"/>
    <cellStyle name="Notas" xfId="56" builtinId="10" customBuiltin="1"/>
    <cellStyle name="Percent" xfId="57"/>
    <cellStyle name="Punto0" xfId="58"/>
    <cellStyle name="Salida" xfId="59" builtinId="21" customBuiltin="1"/>
    <cellStyle name="Texto de advertencia" xfId="60" builtinId="11" customBuiltin="1"/>
    <cellStyle name="Texto explicativo" xfId="61" builtinId="53" customBuiltin="1"/>
    <cellStyle name="Título" xfId="62" builtinId="15" customBuiltin="1"/>
    <cellStyle name="Título 2" xfId="64" builtinId="17" customBuiltin="1"/>
    <cellStyle name="Título 3" xfId="65" builtinId="18" customBuiltin="1"/>
    <cellStyle name="Total" xfId="66" builtinId="25" customBuiltin="1"/>
  </cellStyles>
  <dxfs count="0"/>
  <tableStyles count="0" defaultTableStyle="TableStyleMedium9" defaultPivotStyle="PivotStyleLight16"/>
  <colors>
    <mruColors>
      <color rgb="FFCCCCFF"/>
      <color rgb="FFFFCC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57</xdr:col>
      <xdr:colOff>333375</xdr:colOff>
      <xdr:row>1</xdr:row>
      <xdr:rowOff>38100</xdr:rowOff>
    </xdr:from>
    <xdr:to>
      <xdr:col>57</xdr:col>
      <xdr:colOff>847725</xdr:colOff>
      <xdr:row>3</xdr:row>
      <xdr:rowOff>114300</xdr:rowOff>
    </xdr:to>
    <xdr:pic>
      <xdr:nvPicPr>
        <xdr:cNvPr id="3" name="Picture 2" descr="Escudo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479875" y="276225"/>
          <a:ext cx="5143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0">
    <outlinePr summaryBelow="0"/>
  </sheetPr>
  <dimension ref="B1:BF141"/>
  <sheetViews>
    <sheetView showGridLines="0" tabSelected="1" view="pageBreakPreview" zoomScaleNormal="100" zoomScaleSheetLayoutView="100" workbookViewId="0">
      <pane xSplit="4" ySplit="8" topLeftCell="BD9" activePane="bottomRight" state="frozen"/>
      <selection activeCell="B65" sqref="B65"/>
      <selection pane="topRight" activeCell="B65" sqref="B65"/>
      <selection pane="bottomLeft" activeCell="B65" sqref="B65"/>
      <selection pane="bottomRight" activeCell="BF9" sqref="BF9"/>
    </sheetView>
  </sheetViews>
  <sheetFormatPr baseColWidth="10" defaultColWidth="10.7265625" defaultRowHeight="10.5" outlineLevelRow="2" x14ac:dyDescent="0.25"/>
  <cols>
    <col min="1" max="1" width="11.453125" style="6" customWidth="1"/>
    <col min="2" max="2" width="0.81640625" style="6" customWidth="1"/>
    <col min="3" max="3" width="1.54296875" style="6" customWidth="1"/>
    <col min="4" max="4" width="54.7265625" style="35" customWidth="1"/>
    <col min="5" max="6" width="15.26953125" style="6" customWidth="1"/>
    <col min="7" max="8" width="15" style="6" customWidth="1"/>
    <col min="9" max="10" width="13.54296875" style="6" customWidth="1"/>
    <col min="11" max="12" width="14.453125" style="6" customWidth="1"/>
    <col min="13" max="13" width="13.26953125" style="6" customWidth="1"/>
    <col min="14" max="14" width="13.7265625" style="6" customWidth="1"/>
    <col min="15" max="16" width="13.54296875" style="6" customWidth="1"/>
    <col min="17" max="17" width="12.453125" style="6" customWidth="1"/>
    <col min="18" max="18" width="14" style="6" customWidth="1"/>
    <col min="19" max="20" width="13.54296875" style="6" customWidth="1"/>
    <col min="21" max="21" width="17.7265625" style="6" customWidth="1"/>
    <col min="22" max="22" width="14.26953125" style="6" customWidth="1"/>
    <col min="23" max="23" width="15.54296875" style="6" customWidth="1"/>
    <col min="24" max="24" width="16.7265625" style="6" customWidth="1"/>
    <col min="25" max="25" width="15.54296875" style="45" customWidth="1"/>
    <col min="26" max="26" width="16.7265625" style="45" customWidth="1"/>
    <col min="27" max="27" width="15.453125" style="6" customWidth="1"/>
    <col min="28" max="28" width="16.81640625" style="6" customWidth="1"/>
    <col min="29" max="29" width="15.453125" style="6" customWidth="1"/>
    <col min="30" max="30" width="16.81640625" style="6" customWidth="1"/>
    <col min="31" max="31" width="15.453125" style="6" customWidth="1"/>
    <col min="32" max="32" width="16.81640625" style="6" customWidth="1"/>
    <col min="33" max="34" width="15.453125" style="6" customWidth="1"/>
    <col min="35" max="35" width="16.81640625" style="6" bestFit="1" customWidth="1"/>
    <col min="36" max="36" width="18.7265625" style="6" bestFit="1" customWidth="1"/>
    <col min="37" max="45" width="18.7265625" style="6" customWidth="1"/>
    <col min="46" max="46" width="22.1796875" style="6" bestFit="1" customWidth="1"/>
    <col min="47" max="57" width="22.1796875" style="6" customWidth="1"/>
    <col min="58" max="58" width="19.453125" style="6" bestFit="1" customWidth="1"/>
    <col min="59" max="16384" width="10.7265625" style="6"/>
  </cols>
  <sheetData>
    <row r="1" spans="2:58" s="3" customFormat="1" ht="18.75" customHeight="1" x14ac:dyDescent="0.3">
      <c r="B1" s="2"/>
      <c r="D1" s="1" t="s">
        <v>18</v>
      </c>
      <c r="E1" s="4"/>
      <c r="F1" s="4"/>
      <c r="G1" s="4"/>
      <c r="H1" s="4"/>
      <c r="I1" s="4"/>
      <c r="J1" s="4"/>
      <c r="Y1" s="42"/>
      <c r="Z1" s="42"/>
    </row>
    <row r="2" spans="2:58" s="3" customFormat="1" ht="18.75" customHeight="1" x14ac:dyDescent="0.3">
      <c r="B2" s="2"/>
      <c r="D2" s="1" t="s">
        <v>19</v>
      </c>
      <c r="E2" s="4"/>
      <c r="F2" s="4"/>
      <c r="G2" s="4"/>
      <c r="H2" s="4"/>
      <c r="I2" s="4"/>
      <c r="J2" s="4"/>
      <c r="Y2" s="42"/>
      <c r="Z2" s="42"/>
    </row>
    <row r="3" spans="2:58" s="3" customFormat="1" ht="18.75" customHeight="1" x14ac:dyDescent="0.3">
      <c r="B3" s="2"/>
      <c r="D3" s="1" t="s">
        <v>20</v>
      </c>
      <c r="E3" s="4"/>
      <c r="F3" s="4"/>
      <c r="G3" s="4"/>
      <c r="H3" s="4"/>
      <c r="I3" s="4"/>
      <c r="J3" s="4"/>
      <c r="Y3" s="42"/>
      <c r="Z3" s="42"/>
    </row>
    <row r="4" spans="2:58" s="3" customFormat="1" ht="18.75" customHeight="1" x14ac:dyDescent="0.4">
      <c r="B4" s="2"/>
      <c r="D4" s="5" t="s">
        <v>109</v>
      </c>
      <c r="E4" s="4"/>
      <c r="F4" s="4"/>
      <c r="G4" s="4"/>
      <c r="H4" s="4"/>
      <c r="I4" s="4"/>
      <c r="J4" s="4"/>
      <c r="Y4" s="42"/>
      <c r="Z4" s="42"/>
    </row>
    <row r="5" spans="2:58" s="3" customFormat="1" ht="18.75" customHeight="1" thickBot="1" x14ac:dyDescent="0.45">
      <c r="B5" s="2"/>
      <c r="D5" s="5"/>
      <c r="E5" s="4"/>
      <c r="F5" s="4"/>
      <c r="G5" s="4"/>
      <c r="H5" s="4"/>
      <c r="I5" s="4"/>
      <c r="J5" s="4"/>
      <c r="Y5" s="42"/>
      <c r="Z5" s="42"/>
    </row>
    <row r="6" spans="2:58" ht="13.5" customHeight="1" thickBot="1" x14ac:dyDescent="0.3">
      <c r="D6" s="7"/>
      <c r="E6" s="58">
        <v>2005</v>
      </c>
      <c r="F6" s="61"/>
      <c r="G6" s="58">
        <v>2006</v>
      </c>
      <c r="H6" s="61"/>
      <c r="I6" s="58">
        <v>2007</v>
      </c>
      <c r="J6" s="61"/>
      <c r="K6" s="58">
        <v>2008</v>
      </c>
      <c r="L6" s="61"/>
      <c r="M6" s="58">
        <v>2009</v>
      </c>
      <c r="N6" s="61"/>
      <c r="O6" s="58">
        <v>2010</v>
      </c>
      <c r="P6" s="61"/>
      <c r="Q6" s="58">
        <v>2011</v>
      </c>
      <c r="R6" s="61"/>
      <c r="S6" s="58">
        <v>2012</v>
      </c>
      <c r="T6" s="61"/>
      <c r="U6" s="58">
        <v>2013</v>
      </c>
      <c r="V6" s="61"/>
      <c r="W6" s="58">
        <v>2014</v>
      </c>
      <c r="X6" s="61"/>
      <c r="Y6" s="62">
        <v>2015</v>
      </c>
      <c r="Z6" s="60"/>
      <c r="AA6" s="58">
        <v>2016</v>
      </c>
      <c r="AB6" s="60"/>
      <c r="AC6" s="58">
        <v>2017</v>
      </c>
      <c r="AD6" s="60"/>
      <c r="AE6" s="58">
        <v>2018</v>
      </c>
      <c r="AF6" s="60"/>
      <c r="AG6" s="58">
        <v>2019</v>
      </c>
      <c r="AH6" s="59"/>
      <c r="AI6" s="59">
        <v>2020</v>
      </c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</row>
    <row r="7" spans="2:58" s="9" customFormat="1" ht="11" thickBot="1" x14ac:dyDescent="0.3">
      <c r="B7" s="63" t="s">
        <v>21</v>
      </c>
      <c r="C7" s="64"/>
      <c r="D7" s="65"/>
      <c r="E7" s="8" t="s">
        <v>22</v>
      </c>
      <c r="F7" s="8" t="s">
        <v>23</v>
      </c>
      <c r="G7" s="8" t="s">
        <v>22</v>
      </c>
      <c r="H7" s="8" t="s">
        <v>23</v>
      </c>
      <c r="I7" s="8" t="s">
        <v>22</v>
      </c>
      <c r="J7" s="8" t="s">
        <v>23</v>
      </c>
      <c r="K7" s="8" t="s">
        <v>22</v>
      </c>
      <c r="L7" s="8" t="s">
        <v>23</v>
      </c>
      <c r="M7" s="8" t="s">
        <v>22</v>
      </c>
      <c r="N7" s="8" t="s">
        <v>23</v>
      </c>
      <c r="O7" s="8" t="s">
        <v>22</v>
      </c>
      <c r="P7" s="8" t="s">
        <v>23</v>
      </c>
      <c r="Q7" s="8" t="s">
        <v>22</v>
      </c>
      <c r="R7" s="8" t="s">
        <v>23</v>
      </c>
      <c r="S7" s="8" t="s">
        <v>22</v>
      </c>
      <c r="T7" s="8" t="s">
        <v>64</v>
      </c>
      <c r="U7" s="8" t="s">
        <v>22</v>
      </c>
      <c r="V7" s="8" t="s">
        <v>64</v>
      </c>
      <c r="W7" s="8" t="s">
        <v>22</v>
      </c>
      <c r="X7" s="8" t="s">
        <v>64</v>
      </c>
      <c r="Y7" s="46" t="s">
        <v>22</v>
      </c>
      <c r="Z7" s="46" t="s">
        <v>64</v>
      </c>
      <c r="AA7" s="46" t="s">
        <v>22</v>
      </c>
      <c r="AB7" s="46" t="s">
        <v>64</v>
      </c>
      <c r="AC7" s="46" t="s">
        <v>22</v>
      </c>
      <c r="AD7" s="46" t="s">
        <v>64</v>
      </c>
      <c r="AE7" s="46" t="s">
        <v>22</v>
      </c>
      <c r="AF7" s="46" t="s">
        <v>64</v>
      </c>
      <c r="AG7" s="46" t="s">
        <v>22</v>
      </c>
      <c r="AH7" s="46" t="s">
        <v>64</v>
      </c>
      <c r="AI7" s="8" t="s">
        <v>101</v>
      </c>
      <c r="AJ7" s="8" t="s">
        <v>110</v>
      </c>
      <c r="AK7" s="8" t="s">
        <v>114</v>
      </c>
      <c r="AL7" s="8" t="s">
        <v>117</v>
      </c>
      <c r="AM7" s="8" t="s">
        <v>118</v>
      </c>
      <c r="AN7" s="8" t="s">
        <v>120</v>
      </c>
      <c r="AO7" s="8" t="s">
        <v>124</v>
      </c>
      <c r="AP7" s="8" t="s">
        <v>126</v>
      </c>
      <c r="AQ7" s="8" t="s">
        <v>128</v>
      </c>
      <c r="AR7" s="8" t="s">
        <v>132</v>
      </c>
      <c r="AS7" s="8" t="s">
        <v>135</v>
      </c>
      <c r="AT7" s="8" t="s">
        <v>102</v>
      </c>
      <c r="AU7" s="8" t="s">
        <v>103</v>
      </c>
      <c r="AV7" s="8" t="s">
        <v>111</v>
      </c>
      <c r="AW7" s="8" t="s">
        <v>113</v>
      </c>
      <c r="AX7" s="8" t="s">
        <v>116</v>
      </c>
      <c r="AY7" s="8" t="s">
        <v>119</v>
      </c>
      <c r="AZ7" s="8" t="s">
        <v>121</v>
      </c>
      <c r="BA7" s="8" t="s">
        <v>123</v>
      </c>
      <c r="BB7" s="8" t="s">
        <v>125</v>
      </c>
      <c r="BC7" s="8" t="s">
        <v>127</v>
      </c>
      <c r="BD7" s="8" t="s">
        <v>131</v>
      </c>
      <c r="BE7" s="8" t="s">
        <v>134</v>
      </c>
      <c r="BF7" s="8" t="s">
        <v>104</v>
      </c>
    </row>
    <row r="8" spans="2:58" s="14" customFormat="1" ht="6.75" customHeight="1" x14ac:dyDescent="0.25">
      <c r="B8" s="10"/>
      <c r="C8" s="11"/>
      <c r="D8" s="12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43"/>
      <c r="Z8" s="43"/>
      <c r="AA8" s="43"/>
      <c r="AB8" s="43"/>
      <c r="AC8" s="49"/>
      <c r="AD8" s="49"/>
      <c r="AE8" s="49"/>
      <c r="AF8" s="49"/>
      <c r="AG8" s="49"/>
      <c r="AH8" s="49"/>
      <c r="AI8" s="49"/>
      <c r="AJ8" s="49"/>
      <c r="AK8" s="49"/>
      <c r="AL8" s="49"/>
      <c r="AM8" s="49"/>
      <c r="AN8" s="49"/>
      <c r="AO8" s="49"/>
      <c r="AP8" s="49"/>
      <c r="AQ8" s="49"/>
      <c r="AR8" s="49"/>
      <c r="AS8" s="49"/>
      <c r="AT8" s="49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38"/>
    </row>
    <row r="9" spans="2:58" s="14" customFormat="1" ht="12" customHeight="1" x14ac:dyDescent="0.25">
      <c r="B9" s="15" t="s">
        <v>24</v>
      </c>
      <c r="C9" s="16"/>
      <c r="D9" s="17"/>
      <c r="E9" s="18">
        <f>+E11+E16+E26+E50+E54+E57</f>
        <v>405632075</v>
      </c>
      <c r="F9" s="19">
        <f>SUM(F11+F16+F26+F50+F54)</f>
        <v>112174618.01000001</v>
      </c>
      <c r="G9" s="18">
        <f>+G11+G16+G26+G50+G54+G57</f>
        <v>485376450</v>
      </c>
      <c r="H9" s="19">
        <f>SUM(H11+H16+H26+H50+H54)</f>
        <v>125823357</v>
      </c>
      <c r="I9" s="18">
        <f>+I11+I16+I26+I50+I54+I57</f>
        <v>527486494.82999998</v>
      </c>
      <c r="J9" s="19">
        <f>SUM(J11+J16+J26+J50+J54)</f>
        <v>151421564.73999998</v>
      </c>
      <c r="K9" s="18">
        <f>+K11+K16+K26+K50+K54+K57</f>
        <v>598002192.87944055</v>
      </c>
      <c r="L9" s="19">
        <f>SUM(L11+L16+L26+L50+L54)</f>
        <v>179656298.01853201</v>
      </c>
      <c r="M9" s="18">
        <f>+M11+M16+M26+M50+M54+M57</f>
        <v>624833349.2875334</v>
      </c>
      <c r="N9" s="19">
        <f>SUM(N11+N16+N26+N50+N54)</f>
        <v>190861820.10031033</v>
      </c>
      <c r="O9" s="18">
        <f t="shared" ref="O9:Z9" si="0">+O11+O16+O23+O26+O50+O54+O57</f>
        <v>613976934.73899996</v>
      </c>
      <c r="P9" s="19">
        <f t="shared" si="0"/>
        <v>126633382.34</v>
      </c>
      <c r="Q9" s="18">
        <f t="shared" si="0"/>
        <v>47442780.881201595</v>
      </c>
      <c r="R9" s="19">
        <f t="shared" si="0"/>
        <v>17255829.59386088</v>
      </c>
      <c r="S9" s="18">
        <f t="shared" si="0"/>
        <v>94608547.782693893</v>
      </c>
      <c r="T9" s="19">
        <f t="shared" si="0"/>
        <v>19240839.075241663</v>
      </c>
      <c r="U9" s="19">
        <f t="shared" si="0"/>
        <v>67378937.518019721</v>
      </c>
      <c r="V9" s="19">
        <f t="shared" si="0"/>
        <v>15009591.483077697</v>
      </c>
      <c r="W9" s="19">
        <f t="shared" si="0"/>
        <v>395318410.13940549</v>
      </c>
      <c r="X9" s="19">
        <f t="shared" si="0"/>
        <v>338022074.10892069</v>
      </c>
      <c r="Y9" s="19">
        <f>+Y11+Y16+Y23+Y26+Y50+Y54+Y57</f>
        <v>373264305.75115126</v>
      </c>
      <c r="Z9" s="19">
        <f t="shared" si="0"/>
        <v>331896373.0000627</v>
      </c>
      <c r="AA9" s="19">
        <f>+AA11+AA16+AA23+AA26+AA50+AA54+AA57</f>
        <v>330996324.9879598</v>
      </c>
      <c r="AB9" s="19">
        <f t="shared" ref="AB9" si="1">+AB11+AB16+AB23+AB26+AB50+AB54+AB57</f>
        <v>369804276.59712911</v>
      </c>
      <c r="AC9" s="50">
        <v>141344273.5572646</v>
      </c>
      <c r="AD9" s="50">
        <v>75916511.340916947</v>
      </c>
      <c r="AE9" s="50">
        <v>310425067.48120964</v>
      </c>
      <c r="AF9" s="50">
        <v>637897053.35810959</v>
      </c>
      <c r="AG9" s="50">
        <v>1066543578.9628488</v>
      </c>
      <c r="AH9" s="50">
        <v>1573283158.18624</v>
      </c>
      <c r="AI9" s="50">
        <v>154407607.62</v>
      </c>
      <c r="AJ9" s="50">
        <v>155337592.75</v>
      </c>
      <c r="AK9" s="50">
        <f>+AK11+AK16+AK23+AK26</f>
        <v>172271343.90162104</v>
      </c>
      <c r="AL9" s="50">
        <v>91479465.269999996</v>
      </c>
      <c r="AM9" s="50">
        <v>92473543.61999999</v>
      </c>
      <c r="AN9" s="50">
        <v>111032503.65767953</v>
      </c>
      <c r="AO9" s="50">
        <v>94272989.229999989</v>
      </c>
      <c r="AP9" s="50">
        <v>95236409.200000003</v>
      </c>
      <c r="AQ9" s="50">
        <v>119589137.28091505</v>
      </c>
      <c r="AR9" s="50">
        <v>299824220.08999997</v>
      </c>
      <c r="AS9" s="50">
        <v>300932149.76999998</v>
      </c>
      <c r="AT9" s="50">
        <v>1686856991.4085329</v>
      </c>
      <c r="AU9" s="50">
        <v>108197806</v>
      </c>
      <c r="AV9" s="50">
        <v>92625279.560000002</v>
      </c>
      <c r="AW9" s="50">
        <f>+AW11+AW16+AW23+AW26</f>
        <v>93865280.580760866</v>
      </c>
      <c r="AX9" s="50">
        <v>34591297.660000004</v>
      </c>
      <c r="AY9" s="50">
        <v>33439465.09</v>
      </c>
      <c r="AZ9" s="50">
        <v>35949091.956318669</v>
      </c>
      <c r="BA9" s="50">
        <v>30751332.079999998</v>
      </c>
      <c r="BB9" s="50">
        <v>30484942.600000001</v>
      </c>
      <c r="BC9" s="50">
        <v>409209311.83325559</v>
      </c>
      <c r="BD9" s="50">
        <v>152271258.41</v>
      </c>
      <c r="BE9" s="50">
        <v>166708614.21000001</v>
      </c>
      <c r="BF9" s="50">
        <v>1188093838.8375149</v>
      </c>
    </row>
    <row r="10" spans="2:58" s="14" customFormat="1" ht="6.75" customHeight="1" outlineLevel="1" x14ac:dyDescent="0.25">
      <c r="B10" s="20"/>
      <c r="C10" s="16"/>
      <c r="D10" s="17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38"/>
      <c r="V10" s="38"/>
      <c r="W10" s="38"/>
      <c r="X10" s="38"/>
      <c r="Y10" s="19"/>
      <c r="Z10" s="19"/>
      <c r="AA10" s="19"/>
      <c r="AB10" s="19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</row>
    <row r="11" spans="2:58" s="25" customFormat="1" ht="12" customHeight="1" outlineLevel="1" x14ac:dyDescent="0.25">
      <c r="B11" s="22"/>
      <c r="C11" s="23" t="s">
        <v>25</v>
      </c>
      <c r="D11" s="24"/>
      <c r="E11" s="18">
        <f>SUM(E12:E15)</f>
        <v>1371073</v>
      </c>
      <c r="F11" s="18">
        <f>SUM(F12:F13)</f>
        <v>2120747</v>
      </c>
      <c r="G11" s="18">
        <f>SUM(G12:G15)</f>
        <v>4387622</v>
      </c>
      <c r="H11" s="18">
        <f>SUM(H12:H13)</f>
        <v>2574361</v>
      </c>
      <c r="I11" s="18">
        <f>SUM(I12:I15)</f>
        <v>4696847</v>
      </c>
      <c r="J11" s="18">
        <f>SUM(J12:J13)</f>
        <v>3341218.8699999996</v>
      </c>
      <c r="K11" s="18">
        <f>SUM(K12:K15)</f>
        <v>4569492.9000000004</v>
      </c>
      <c r="L11" s="18">
        <f>SUM(L12:L13)</f>
        <v>6523255.7799999993</v>
      </c>
      <c r="M11" s="18">
        <f>SUM(M12:M15)</f>
        <v>5145014.24</v>
      </c>
      <c r="N11" s="18">
        <f>SUM(N12:N13)</f>
        <v>5745961.1699999999</v>
      </c>
      <c r="O11" s="18">
        <f>SUM(O12:O15)</f>
        <v>6231056.54</v>
      </c>
      <c r="P11" s="18">
        <f>SUM(P12:P13)</f>
        <v>5842286.7999999998</v>
      </c>
      <c r="Q11" s="18">
        <f>SUM(Q12:Q15)</f>
        <v>6897379.6199515862</v>
      </c>
      <c r="R11" s="18">
        <f>SUM(R12:R13)</f>
        <v>5942726.1637677411</v>
      </c>
      <c r="S11" s="18">
        <f>SUM(S12:S15)</f>
        <v>8106213.1912896242</v>
      </c>
      <c r="T11" s="18">
        <f t="shared" ref="T11:Z11" si="2">SUM(T12:T14)</f>
        <v>6294648.5252574505</v>
      </c>
      <c r="U11" s="18">
        <f t="shared" si="2"/>
        <v>9312677.1873963438</v>
      </c>
      <c r="V11" s="18">
        <f t="shared" si="2"/>
        <v>5907566.5933492128</v>
      </c>
      <c r="W11" s="18">
        <f t="shared" si="2"/>
        <v>12298858.67</v>
      </c>
      <c r="X11" s="18">
        <f t="shared" si="2"/>
        <v>7229654.1534111574</v>
      </c>
      <c r="Y11" s="19">
        <f t="shared" si="2"/>
        <v>15682445.815277219</v>
      </c>
      <c r="Z11" s="19">
        <f t="shared" si="2"/>
        <v>4573716.3136977637</v>
      </c>
      <c r="AA11" s="19">
        <f>SUM(AA12:AA14)</f>
        <v>19282345.039148867</v>
      </c>
      <c r="AB11" s="19">
        <f>SUM(AB12:AB14)</f>
        <v>3892368.6385307778</v>
      </c>
      <c r="AC11" s="50">
        <v>19441914.977264605</v>
      </c>
      <c r="AD11" s="50">
        <v>771532.37645965733</v>
      </c>
      <c r="AE11" s="50">
        <v>2477189.4978431496</v>
      </c>
      <c r="AF11" s="50">
        <v>9521.3337191656119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0">
        <v>0</v>
      </c>
      <c r="AO11" s="50">
        <v>0</v>
      </c>
      <c r="AP11" s="50">
        <v>0</v>
      </c>
      <c r="AQ11" s="50">
        <v>0</v>
      </c>
      <c r="AR11" s="50">
        <v>0</v>
      </c>
      <c r="AS11" s="50">
        <v>0</v>
      </c>
      <c r="AT11" s="50">
        <v>0</v>
      </c>
      <c r="AU11" s="50">
        <v>0</v>
      </c>
      <c r="AV11" s="50">
        <v>0</v>
      </c>
      <c r="AW11" s="50">
        <v>0</v>
      </c>
      <c r="AX11" s="50">
        <v>0</v>
      </c>
      <c r="AY11" s="50">
        <v>0</v>
      </c>
      <c r="AZ11" s="50">
        <v>0</v>
      </c>
      <c r="BA11" s="50">
        <v>0</v>
      </c>
      <c r="BB11" s="50">
        <v>0</v>
      </c>
      <c r="BC11" s="50">
        <v>0</v>
      </c>
      <c r="BD11" s="50">
        <v>0</v>
      </c>
      <c r="BE11" s="50">
        <v>0</v>
      </c>
      <c r="BF11" s="50">
        <v>0</v>
      </c>
    </row>
    <row r="12" spans="2:58" s="25" customFormat="1" ht="12" customHeight="1" outlineLevel="2" x14ac:dyDescent="0.2">
      <c r="B12" s="22"/>
      <c r="C12" s="23"/>
      <c r="D12" s="26" t="s">
        <v>83</v>
      </c>
      <c r="E12" s="27">
        <v>0</v>
      </c>
      <c r="F12" s="27">
        <v>0</v>
      </c>
      <c r="G12" s="27">
        <v>2089524</v>
      </c>
      <c r="H12" s="27">
        <f>2322+831462</f>
        <v>833784</v>
      </c>
      <c r="I12" s="27">
        <v>1297784</v>
      </c>
      <c r="J12" s="27">
        <f>481078.85+3604.49</f>
        <v>484683.33999999997</v>
      </c>
      <c r="K12" s="27">
        <v>1411300.63</v>
      </c>
      <c r="L12" s="27">
        <v>499565.77</v>
      </c>
      <c r="M12" s="27">
        <v>1500166.37</v>
      </c>
      <c r="N12" s="27">
        <v>498559.9</v>
      </c>
      <c r="O12" s="27">
        <v>2340187.96</v>
      </c>
      <c r="P12" s="27">
        <v>512709.63</v>
      </c>
      <c r="Q12" s="27">
        <v>2719141.873323082</v>
      </c>
      <c r="R12" s="27">
        <v>505871.00802792667</v>
      </c>
      <c r="S12" s="27">
        <v>2986523.1511388938</v>
      </c>
      <c r="T12" s="27">
        <v>497321.26550649072</v>
      </c>
      <c r="U12" s="27">
        <v>3303092.6999900416</v>
      </c>
      <c r="V12" s="27">
        <v>483908.54388427502</v>
      </c>
      <c r="W12" s="27">
        <v>6048160.1699999999</v>
      </c>
      <c r="X12" s="27">
        <v>482358.93836470629</v>
      </c>
      <c r="Y12" s="21">
        <v>7524669.1418904355</v>
      </c>
      <c r="Z12" s="21">
        <v>417630.82643747237</v>
      </c>
      <c r="AA12" s="21">
        <v>9638226.7068515252</v>
      </c>
      <c r="AB12" s="21">
        <v>340563.81810327549</v>
      </c>
      <c r="AC12" s="51">
        <v>12196531.896477535</v>
      </c>
      <c r="AD12" s="51">
        <v>186363.5353018915</v>
      </c>
      <c r="AE12" s="51">
        <v>2477189.4978431496</v>
      </c>
      <c r="AF12" s="51">
        <v>9521.3337191656119</v>
      </c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</row>
    <row r="13" spans="2:58" s="25" customFormat="1" ht="12" customHeight="1" outlineLevel="2" x14ac:dyDescent="0.2">
      <c r="B13" s="22"/>
      <c r="C13" s="23"/>
      <c r="D13" s="26" t="s">
        <v>26</v>
      </c>
      <c r="E13" s="27">
        <v>1371073</v>
      </c>
      <c r="F13" s="27">
        <v>2120747</v>
      </c>
      <c r="G13" s="27">
        <v>2298098</v>
      </c>
      <c r="H13" s="27">
        <v>1740577</v>
      </c>
      <c r="I13" s="27">
        <v>3399063</v>
      </c>
      <c r="J13" s="27">
        <v>2856535.53</v>
      </c>
      <c r="K13" s="27">
        <v>3158192.27</v>
      </c>
      <c r="L13" s="27">
        <v>6023690.0099999998</v>
      </c>
      <c r="M13" s="27">
        <v>3644847.87</v>
      </c>
      <c r="N13" s="27">
        <v>5247401.2699999996</v>
      </c>
      <c r="O13" s="27">
        <v>3890868.58</v>
      </c>
      <c r="P13" s="27">
        <v>5329577.17</v>
      </c>
      <c r="Q13" s="27">
        <v>4178237.7466285042</v>
      </c>
      <c r="R13" s="27">
        <v>5436855.155739814</v>
      </c>
      <c r="S13" s="27">
        <v>4671541.6901507312</v>
      </c>
      <c r="T13" s="27">
        <v>5138707.7013469534</v>
      </c>
      <c r="U13" s="27">
        <v>5338124.03</v>
      </c>
      <c r="V13" s="27">
        <v>4543769.6570552262</v>
      </c>
      <c r="W13" s="27">
        <v>5476083.2599999998</v>
      </c>
      <c r="X13" s="27">
        <v>5820683.8986516213</v>
      </c>
      <c r="Y13" s="21">
        <v>7118990.3544647601</v>
      </c>
      <c r="Z13" s="21">
        <v>3530024.35781834</v>
      </c>
      <c r="AA13" s="21">
        <v>8300779.6313598733</v>
      </c>
      <c r="AB13" s="21">
        <v>3157832.5113739823</v>
      </c>
      <c r="AC13" s="51">
        <v>6835759.1894791229</v>
      </c>
      <c r="AD13" s="51">
        <v>567730.22582980583</v>
      </c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</row>
    <row r="14" spans="2:58" s="25" customFormat="1" ht="12" customHeight="1" outlineLevel="2" x14ac:dyDescent="0.2">
      <c r="B14" s="22"/>
      <c r="C14" s="23"/>
      <c r="D14" s="26" t="s">
        <v>66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>
        <v>448148.35</v>
      </c>
      <c r="T14" s="27">
        <v>658619.55840400595</v>
      </c>
      <c r="U14" s="27">
        <v>671460.45740630059</v>
      </c>
      <c r="V14" s="27">
        <v>879888.39240971231</v>
      </c>
      <c r="W14" s="27">
        <v>774615.24</v>
      </c>
      <c r="X14" s="27">
        <v>926611.31639482977</v>
      </c>
      <c r="Y14" s="21">
        <v>1038786.3189220234</v>
      </c>
      <c r="Z14" s="21">
        <v>626061.12944195105</v>
      </c>
      <c r="AA14" s="21">
        <v>1343338.7009374667</v>
      </c>
      <c r="AB14" s="21">
        <v>393972.30905351951</v>
      </c>
      <c r="AC14" s="51">
        <v>409623.89130794769</v>
      </c>
      <c r="AD14" s="51">
        <v>17438.615327959989</v>
      </c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</row>
    <row r="15" spans="2:58" s="14" customFormat="1" ht="6.75" customHeight="1" outlineLevel="1" x14ac:dyDescent="0.25">
      <c r="B15" s="28"/>
      <c r="C15" s="16"/>
      <c r="D15" s="1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38"/>
      <c r="V15" s="38"/>
      <c r="W15" s="38"/>
      <c r="X15" s="38"/>
      <c r="Y15" s="19"/>
      <c r="Z15" s="19"/>
      <c r="AA15" s="19"/>
      <c r="AB15" s="19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</row>
    <row r="16" spans="2:58" s="25" customFormat="1" ht="12" customHeight="1" outlineLevel="1" x14ac:dyDescent="0.25">
      <c r="B16" s="22"/>
      <c r="C16" s="23" t="s">
        <v>27</v>
      </c>
      <c r="D16" s="24"/>
      <c r="E16" s="18">
        <f t="shared" ref="E16:P16" si="3">SUM(E17:E21)</f>
        <v>11017167.51</v>
      </c>
      <c r="F16" s="18">
        <f t="shared" si="3"/>
        <v>7143117.3700000001</v>
      </c>
      <c r="G16" s="18">
        <f t="shared" si="3"/>
        <v>4222091</v>
      </c>
      <c r="H16" s="18">
        <f t="shared" si="3"/>
        <v>2565749</v>
      </c>
      <c r="I16" s="18">
        <f t="shared" si="3"/>
        <v>4283715.1399999997</v>
      </c>
      <c r="J16" s="18">
        <f t="shared" si="3"/>
        <v>2167634.02</v>
      </c>
      <c r="K16" s="18">
        <f t="shared" si="3"/>
        <v>4327618.486734896</v>
      </c>
      <c r="L16" s="18">
        <f t="shared" si="3"/>
        <v>1751677.3879446373</v>
      </c>
      <c r="M16" s="18">
        <f t="shared" si="3"/>
        <v>6050258.1275334004</v>
      </c>
      <c r="N16" s="18">
        <f t="shared" si="3"/>
        <v>4286397.3103103256</v>
      </c>
      <c r="O16" s="18">
        <f t="shared" si="3"/>
        <v>4648417.0599999996</v>
      </c>
      <c r="P16" s="18">
        <f t="shared" si="3"/>
        <v>30774574.280000001</v>
      </c>
      <c r="Q16" s="18">
        <f t="shared" ref="Q16:V16" si="4">SUM(Q17:Q21)</f>
        <v>4805480.1512500001</v>
      </c>
      <c r="R16" s="18">
        <f t="shared" si="4"/>
        <v>3424341.743986696</v>
      </c>
      <c r="S16" s="18">
        <f t="shared" si="4"/>
        <v>3628236.4914042647</v>
      </c>
      <c r="T16" s="18">
        <f t="shared" si="4"/>
        <v>3422712.9863000005</v>
      </c>
      <c r="U16" s="18">
        <f t="shared" si="4"/>
        <v>4513844.974706714</v>
      </c>
      <c r="V16" s="18">
        <f t="shared" si="4"/>
        <v>3881683.8497284846</v>
      </c>
      <c r="W16" s="18">
        <f t="shared" ref="W16:Z16" si="5">SUM(W17:W21)</f>
        <v>6926344.0300000003</v>
      </c>
      <c r="X16" s="18">
        <f t="shared" si="5"/>
        <v>5312232.19582</v>
      </c>
      <c r="Y16" s="19">
        <f t="shared" si="5"/>
        <v>8410580.4900000002</v>
      </c>
      <c r="Z16" s="19">
        <f t="shared" si="5"/>
        <v>5815661.6611112254</v>
      </c>
      <c r="AA16" s="19">
        <f>SUM(AA17:AA21)</f>
        <v>11976206.330000002</v>
      </c>
      <c r="AB16" s="19">
        <f>SUM(AB17:AB21)</f>
        <v>8725636.7926000003</v>
      </c>
      <c r="AC16" s="50">
        <v>14188759.120000001</v>
      </c>
      <c r="AD16" s="50">
        <v>8143446.8887363952</v>
      </c>
      <c r="AE16" s="50">
        <v>28100297.450000003</v>
      </c>
      <c r="AF16" s="50">
        <v>14324443.794390405</v>
      </c>
      <c r="AG16" s="50">
        <v>48226553.095759995</v>
      </c>
      <c r="AH16" s="50">
        <v>19771996.656239998</v>
      </c>
      <c r="AI16" s="50">
        <v>0</v>
      </c>
      <c r="AJ16" s="50">
        <v>0</v>
      </c>
      <c r="AK16" s="50">
        <v>15685328.05162104</v>
      </c>
      <c r="AL16" s="50">
        <v>0</v>
      </c>
      <c r="AM16" s="50">
        <v>0</v>
      </c>
      <c r="AN16" s="50">
        <v>17639114.337679528</v>
      </c>
      <c r="AO16" s="50">
        <v>0</v>
      </c>
      <c r="AP16" s="50">
        <v>0</v>
      </c>
      <c r="AQ16" s="50">
        <v>19198786.030915074</v>
      </c>
      <c r="AR16" s="50">
        <v>0</v>
      </c>
      <c r="AS16" s="50">
        <v>0</v>
      </c>
      <c r="AT16" s="50">
        <v>52523228.420215651</v>
      </c>
      <c r="AU16" s="50">
        <v>0</v>
      </c>
      <c r="AV16" s="50">
        <v>0</v>
      </c>
      <c r="AW16" s="50">
        <f>AW18</f>
        <v>5365698.6707608718</v>
      </c>
      <c r="AX16" s="50">
        <v>0</v>
      </c>
      <c r="AY16" s="50">
        <v>0</v>
      </c>
      <c r="AZ16" s="50">
        <v>6219836.5063186726</v>
      </c>
      <c r="BA16" s="50">
        <v>0</v>
      </c>
      <c r="BB16" s="50">
        <v>0</v>
      </c>
      <c r="BC16" s="50">
        <v>5992740.3932555607</v>
      </c>
      <c r="BD16" s="50">
        <v>0</v>
      </c>
      <c r="BE16" s="50">
        <v>0</v>
      </c>
      <c r="BF16" s="50">
        <v>17578434.436524633</v>
      </c>
    </row>
    <row r="17" spans="2:58" s="25" customFormat="1" ht="12" customHeight="1" outlineLevel="2" x14ac:dyDescent="0.2">
      <c r="B17" s="22"/>
      <c r="C17" s="23"/>
      <c r="D17" s="26" t="s">
        <v>7</v>
      </c>
      <c r="E17" s="27">
        <v>2867608</v>
      </c>
      <c r="F17" s="27">
        <v>863961</v>
      </c>
      <c r="G17" s="27">
        <v>456874</v>
      </c>
      <c r="H17" s="27">
        <v>253887</v>
      </c>
      <c r="I17" s="27">
        <v>489275</v>
      </c>
      <c r="J17" s="27">
        <v>203661</v>
      </c>
      <c r="K17" s="27">
        <v>488458.92</v>
      </c>
      <c r="L17" s="27">
        <v>150328.93</v>
      </c>
      <c r="M17" s="27">
        <v>759595.55</v>
      </c>
      <c r="N17" s="27">
        <v>2626613.04</v>
      </c>
      <c r="O17" s="27">
        <v>286508.61</v>
      </c>
      <c r="P17" s="27">
        <v>10838184.939871231</v>
      </c>
      <c r="Q17" s="27">
        <v>379725.85125000001</v>
      </c>
      <c r="R17" s="27">
        <v>252879.67274999997</v>
      </c>
      <c r="S17" s="27">
        <v>476263.28096</v>
      </c>
      <c r="T17" s="27">
        <v>222981.6005</v>
      </c>
      <c r="U17" s="27">
        <v>654893.88</v>
      </c>
      <c r="V17" s="27">
        <v>193070.33666</v>
      </c>
      <c r="W17" s="27">
        <v>946509.63</v>
      </c>
      <c r="X17" s="27">
        <v>171724.43177999998</v>
      </c>
      <c r="Y17" s="21">
        <v>688785.68</v>
      </c>
      <c r="Z17" s="21">
        <v>62476.994019999998</v>
      </c>
      <c r="AA17" s="21">
        <v>130505.67000000001</v>
      </c>
      <c r="AB17" s="21">
        <v>11869.7857</v>
      </c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</row>
    <row r="18" spans="2:58" s="25" customFormat="1" ht="12" customHeight="1" outlineLevel="2" x14ac:dyDescent="0.2">
      <c r="B18" s="22"/>
      <c r="C18" s="23"/>
      <c r="D18" s="26" t="s">
        <v>68</v>
      </c>
      <c r="E18" s="27">
        <f>245633+179092+11026+2142.51</f>
        <v>437893.51</v>
      </c>
      <c r="F18" s="27">
        <f>518396+16975+205269+48527+13297+3344+1563.28+56745.25+111.84</f>
        <v>864228.37</v>
      </c>
      <c r="G18" s="27">
        <f>56541+2243+378542+22891</f>
        <v>460217</v>
      </c>
      <c r="H18" s="27">
        <f>193+3908+139765+51864+12966+397730+95321+25923+6481</f>
        <v>734151</v>
      </c>
      <c r="I18" s="27">
        <f>59422+403577+24057+2384.14</f>
        <v>489440.14</v>
      </c>
      <c r="J18" s="27">
        <f>49560+387351+24990+12390+92825+6247+76.19+3908.24+140405.9</f>
        <v>717753.33</v>
      </c>
      <c r="K18" s="27">
        <v>534160.00673489587</v>
      </c>
      <c r="L18" s="27">
        <v>684176.58794463752</v>
      </c>
      <c r="M18" s="27">
        <v>746015.48753340065</v>
      </c>
      <c r="N18" s="27">
        <v>768824.03031032544</v>
      </c>
      <c r="O18" s="27">
        <v>1449587.13</v>
      </c>
      <c r="P18" s="27">
        <v>19645588.020128768</v>
      </c>
      <c r="Q18" s="27">
        <v>2525596.94</v>
      </c>
      <c r="R18" s="27">
        <v>3078505.3112366963</v>
      </c>
      <c r="S18" s="27">
        <v>2983638.3304442647</v>
      </c>
      <c r="T18" s="27">
        <v>3203788.8258000002</v>
      </c>
      <c r="U18" s="27">
        <v>3858951.0947067142</v>
      </c>
      <c r="V18" s="27">
        <v>3688613.5130684846</v>
      </c>
      <c r="W18" s="27">
        <v>5979834.4000000004</v>
      </c>
      <c r="X18" s="27">
        <v>5140507.7640399998</v>
      </c>
      <c r="Y18" s="21">
        <v>7721794.8099999996</v>
      </c>
      <c r="Z18" s="21">
        <v>5753184.6670912253</v>
      </c>
      <c r="AA18" s="21">
        <v>11845700.660000002</v>
      </c>
      <c r="AB18" s="21">
        <v>8713767.0068999995</v>
      </c>
      <c r="AC18" s="51">
        <v>14188759.120000001</v>
      </c>
      <c r="AD18" s="51">
        <v>8143446.8887363952</v>
      </c>
      <c r="AE18" s="51">
        <v>28100297.450000003</v>
      </c>
      <c r="AF18" s="51">
        <v>14324443.794390405</v>
      </c>
      <c r="AG18" s="51">
        <v>48226553.095759995</v>
      </c>
      <c r="AH18" s="51">
        <v>19771996.656239998</v>
      </c>
      <c r="AI18" s="51">
        <v>0</v>
      </c>
      <c r="AJ18" s="51">
        <v>0</v>
      </c>
      <c r="AK18" s="51">
        <v>15685328.05162104</v>
      </c>
      <c r="AL18" s="51">
        <v>0</v>
      </c>
      <c r="AM18" s="51">
        <v>0</v>
      </c>
      <c r="AN18" s="51">
        <v>17639114.337679528</v>
      </c>
      <c r="AO18" s="51">
        <v>0</v>
      </c>
      <c r="AP18" s="51">
        <v>0</v>
      </c>
      <c r="AQ18" s="51">
        <v>19198786.030915074</v>
      </c>
      <c r="AR18" s="51">
        <v>0</v>
      </c>
      <c r="AS18" s="51">
        <v>0</v>
      </c>
      <c r="AT18" s="51">
        <v>52523228.420215651</v>
      </c>
      <c r="AU18" s="51">
        <v>0</v>
      </c>
      <c r="AV18" s="51">
        <v>0</v>
      </c>
      <c r="AW18" s="51">
        <v>5365698.6707608718</v>
      </c>
      <c r="AX18" s="51">
        <v>0</v>
      </c>
      <c r="AY18" s="51">
        <v>0</v>
      </c>
      <c r="AZ18" s="51">
        <v>6219836.5063186726</v>
      </c>
      <c r="BA18" s="51">
        <v>0</v>
      </c>
      <c r="BB18" s="51">
        <v>0</v>
      </c>
      <c r="BC18" s="51">
        <v>5992740.3932555607</v>
      </c>
      <c r="BD18" s="51">
        <v>0</v>
      </c>
      <c r="BE18" s="51">
        <v>0</v>
      </c>
      <c r="BF18" s="51">
        <v>17578434.436524633</v>
      </c>
    </row>
    <row r="19" spans="2:58" s="25" customFormat="1" ht="12" customHeight="1" outlineLevel="2" x14ac:dyDescent="0.2">
      <c r="B19" s="22"/>
      <c r="C19" s="23"/>
      <c r="D19" s="26" t="s">
        <v>17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7">
        <v>0</v>
      </c>
      <c r="U19" s="27">
        <v>0</v>
      </c>
      <c r="V19" s="27">
        <v>0</v>
      </c>
      <c r="W19" s="27">
        <v>0</v>
      </c>
      <c r="X19" s="27"/>
      <c r="Y19" s="21">
        <v>0</v>
      </c>
      <c r="Z19" s="21"/>
      <c r="AA19" s="21">
        <v>0</v>
      </c>
      <c r="AB19" s="2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</row>
    <row r="20" spans="2:58" s="25" customFormat="1" ht="12" customHeight="1" outlineLevel="2" x14ac:dyDescent="0.2">
      <c r="B20" s="22"/>
      <c r="C20" s="23"/>
      <c r="D20" s="26" t="s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1239647.53</v>
      </c>
      <c r="N20" s="27">
        <v>250798.47</v>
      </c>
      <c r="O20" s="27">
        <v>336854.74</v>
      </c>
      <c r="P20" s="27">
        <v>35756.76</v>
      </c>
      <c r="Q20" s="27">
        <v>708664.77</v>
      </c>
      <c r="R20" s="27">
        <v>36558.230000000003</v>
      </c>
      <c r="S20" s="27">
        <v>0</v>
      </c>
      <c r="T20" s="27">
        <v>0</v>
      </c>
      <c r="U20" s="27">
        <v>0</v>
      </c>
      <c r="V20" s="27">
        <v>0</v>
      </c>
      <c r="W20" s="27">
        <v>0</v>
      </c>
      <c r="X20" s="27">
        <v>0</v>
      </c>
      <c r="Y20" s="21">
        <v>0</v>
      </c>
      <c r="Z20" s="21">
        <v>0</v>
      </c>
      <c r="AA20" s="21">
        <v>0</v>
      </c>
      <c r="AB20" s="21">
        <v>0</v>
      </c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</row>
    <row r="21" spans="2:58" s="25" customFormat="1" ht="12" customHeight="1" outlineLevel="2" x14ac:dyDescent="0.2">
      <c r="B21" s="22"/>
      <c r="C21" s="23"/>
      <c r="D21" s="26" t="s">
        <v>28</v>
      </c>
      <c r="E21" s="27">
        <v>7711666</v>
      </c>
      <c r="F21" s="27">
        <f>5399332+15596</f>
        <v>5414928</v>
      </c>
      <c r="G21" s="27">
        <v>3305000</v>
      </c>
      <c r="H21" s="27">
        <f>1563107+14604</f>
        <v>1577711</v>
      </c>
      <c r="I21" s="27">
        <v>3305000</v>
      </c>
      <c r="J21" s="27">
        <f>1232606.97+13612.72</f>
        <v>1246219.69</v>
      </c>
      <c r="K21" s="27">
        <v>3304999.56</v>
      </c>
      <c r="L21" s="27">
        <v>917171.87</v>
      </c>
      <c r="M21" s="27">
        <v>3304999.56</v>
      </c>
      <c r="N21" s="27">
        <v>640161.77</v>
      </c>
      <c r="O21" s="27">
        <v>2575466.58</v>
      </c>
      <c r="P21" s="27">
        <v>255044.56</v>
      </c>
      <c r="Q21" s="27">
        <v>1191492.5900000001</v>
      </c>
      <c r="R21" s="27">
        <v>56398.53</v>
      </c>
      <c r="S21" s="27">
        <v>168334.88</v>
      </c>
      <c r="T21" s="27">
        <v>-4057.44</v>
      </c>
      <c r="U21" s="27">
        <v>0</v>
      </c>
      <c r="V21" s="27">
        <v>0</v>
      </c>
      <c r="W21" s="27">
        <v>0</v>
      </c>
      <c r="X21" s="27">
        <v>0</v>
      </c>
      <c r="Y21" s="21">
        <v>0</v>
      </c>
      <c r="Z21" s="21">
        <v>0</v>
      </c>
      <c r="AA21" s="21">
        <v>0</v>
      </c>
      <c r="AB21" s="21">
        <v>0</v>
      </c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</row>
    <row r="22" spans="2:58" s="14" customFormat="1" ht="6.75" customHeight="1" outlineLevel="1" x14ac:dyDescent="0.25">
      <c r="B22" s="28"/>
      <c r="C22" s="16"/>
      <c r="D22" s="17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38"/>
      <c r="V22" s="38"/>
      <c r="W22" s="38"/>
      <c r="X22" s="38"/>
      <c r="Y22" s="19"/>
      <c r="Z22" s="19"/>
      <c r="AA22" s="19"/>
      <c r="AB22" s="19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</row>
    <row r="23" spans="2:58" s="25" customFormat="1" ht="12" customHeight="1" outlineLevel="1" x14ac:dyDescent="0.25">
      <c r="B23" s="22"/>
      <c r="C23" s="23" t="s">
        <v>29</v>
      </c>
      <c r="D23" s="24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>
        <f t="shared" ref="O23:Z23" si="6">+O24</f>
        <v>898799.14</v>
      </c>
      <c r="P23" s="18">
        <f t="shared" si="6"/>
        <v>188545.22</v>
      </c>
      <c r="Q23" s="18">
        <f t="shared" si="6"/>
        <v>0</v>
      </c>
      <c r="R23" s="18">
        <f t="shared" si="6"/>
        <v>0</v>
      </c>
      <c r="S23" s="18">
        <f t="shared" si="6"/>
        <v>0</v>
      </c>
      <c r="T23" s="18">
        <f t="shared" si="6"/>
        <v>0</v>
      </c>
      <c r="U23" s="18">
        <f t="shared" si="6"/>
        <v>0</v>
      </c>
      <c r="V23" s="18">
        <f t="shared" si="6"/>
        <v>0</v>
      </c>
      <c r="W23" s="18">
        <f t="shared" si="6"/>
        <v>0</v>
      </c>
      <c r="X23" s="18">
        <f t="shared" si="6"/>
        <v>0</v>
      </c>
      <c r="Y23" s="19">
        <f t="shared" si="6"/>
        <v>0</v>
      </c>
      <c r="Z23" s="19">
        <f t="shared" si="6"/>
        <v>0</v>
      </c>
      <c r="AA23" s="19">
        <f>+AA24</f>
        <v>0</v>
      </c>
      <c r="AB23" s="19">
        <f>+AB24</f>
        <v>0</v>
      </c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</row>
    <row r="24" spans="2:58" s="25" customFormat="1" ht="12" customHeight="1" outlineLevel="2" x14ac:dyDescent="0.2">
      <c r="B24" s="22"/>
      <c r="C24" s="23"/>
      <c r="D24" s="24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27">
        <v>898799.14</v>
      </c>
      <c r="P24" s="27">
        <v>188545.22</v>
      </c>
      <c r="Q24" s="27">
        <v>0</v>
      </c>
      <c r="R24" s="27">
        <v>0</v>
      </c>
      <c r="S24" s="27">
        <v>0</v>
      </c>
      <c r="T24" s="27">
        <v>0</v>
      </c>
      <c r="U24" s="27">
        <v>0</v>
      </c>
      <c r="V24" s="27">
        <v>0</v>
      </c>
      <c r="W24" s="27">
        <v>0</v>
      </c>
      <c r="X24" s="27">
        <v>0</v>
      </c>
      <c r="Y24" s="21">
        <v>0</v>
      </c>
      <c r="Z24" s="21">
        <v>0</v>
      </c>
      <c r="AA24" s="21">
        <v>0</v>
      </c>
      <c r="AB24" s="21">
        <v>0</v>
      </c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</row>
    <row r="25" spans="2:58" s="14" customFormat="1" ht="6.75" customHeight="1" outlineLevel="1" x14ac:dyDescent="0.25">
      <c r="B25" s="28"/>
      <c r="C25" s="16"/>
      <c r="D25" s="17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38"/>
      <c r="V25" s="38"/>
      <c r="W25" s="38"/>
      <c r="X25" s="38"/>
      <c r="Y25" s="21"/>
      <c r="Z25" s="21"/>
      <c r="AA25" s="21"/>
      <c r="AB25" s="2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</row>
    <row r="26" spans="2:58" s="25" customFormat="1" ht="12" customHeight="1" outlineLevel="1" x14ac:dyDescent="0.25">
      <c r="B26" s="22"/>
      <c r="C26" s="23" t="s">
        <v>30</v>
      </c>
      <c r="D26" s="24"/>
      <c r="E26" s="18">
        <f t="shared" ref="E26:M26" si="7">SUM(E27:E43)</f>
        <v>392239951.49000001</v>
      </c>
      <c r="F26" s="18">
        <f t="shared" si="7"/>
        <v>102814178.64</v>
      </c>
      <c r="G26" s="18">
        <f t="shared" si="7"/>
        <v>476095160</v>
      </c>
      <c r="H26" s="18">
        <f t="shared" si="7"/>
        <v>120668637</v>
      </c>
      <c r="I26" s="18">
        <f t="shared" si="7"/>
        <v>518305110.69</v>
      </c>
      <c r="J26" s="18">
        <f t="shared" si="7"/>
        <v>145896540.43000001</v>
      </c>
      <c r="K26" s="18">
        <f t="shared" si="7"/>
        <v>589105081.4927057</v>
      </c>
      <c r="L26" s="18">
        <f t="shared" si="7"/>
        <v>171381364.85058737</v>
      </c>
      <c r="M26" s="18">
        <f t="shared" si="7"/>
        <v>613638076.91999996</v>
      </c>
      <c r="N26" s="18">
        <f>SUM(N27:N44)</f>
        <v>180829461.62</v>
      </c>
      <c r="O26" s="18">
        <f t="shared" ref="O26:X26" si="8">SUM(O27:O45)</f>
        <v>602198661.99899995</v>
      </c>
      <c r="P26" s="18">
        <f t="shared" si="8"/>
        <v>89827976.040000007</v>
      </c>
      <c r="Q26" s="18">
        <f t="shared" si="8"/>
        <v>35739921.110000007</v>
      </c>
      <c r="R26" s="18">
        <f t="shared" si="8"/>
        <v>7871363.1999999993</v>
      </c>
      <c r="S26" s="18">
        <f t="shared" si="8"/>
        <v>50014098.100000001</v>
      </c>
      <c r="T26" s="18">
        <f t="shared" si="8"/>
        <v>6922437.5800000001</v>
      </c>
      <c r="U26" s="18">
        <f t="shared" si="8"/>
        <v>53552415.355916664</v>
      </c>
      <c r="V26" s="18">
        <f t="shared" si="8"/>
        <v>5220341.04</v>
      </c>
      <c r="W26" s="18">
        <f t="shared" si="8"/>
        <v>376093207.4394055</v>
      </c>
      <c r="X26" s="18">
        <f t="shared" si="8"/>
        <v>325480187.75968951</v>
      </c>
      <c r="Y26" s="19">
        <f t="shared" ref="Y26:AB26" si="9">SUM(Y27:Y45)</f>
        <v>349171279.44587404</v>
      </c>
      <c r="Z26" s="19">
        <f t="shared" si="9"/>
        <v>321506995.02525371</v>
      </c>
      <c r="AA26" s="19">
        <f t="shared" si="9"/>
        <v>299737773.61881095</v>
      </c>
      <c r="AB26" s="19">
        <f t="shared" si="9"/>
        <v>357186271.16599834</v>
      </c>
      <c r="AC26" s="50">
        <v>107713599.45999999</v>
      </c>
      <c r="AD26" s="50">
        <v>67001532.075720891</v>
      </c>
      <c r="AE26" s="50">
        <v>279847580.5333665</v>
      </c>
      <c r="AF26" s="50">
        <v>623563088.23000002</v>
      </c>
      <c r="AG26" s="50">
        <v>1018317025.8670888</v>
      </c>
      <c r="AH26" s="50">
        <v>1553511161.53</v>
      </c>
      <c r="AI26" s="50">
        <v>154407607.62</v>
      </c>
      <c r="AJ26" s="50">
        <v>155337592.75</v>
      </c>
      <c r="AK26" s="50">
        <v>156586015.84999999</v>
      </c>
      <c r="AL26" s="50">
        <v>91479465.269999996</v>
      </c>
      <c r="AM26" s="50">
        <v>92473543.61999999</v>
      </c>
      <c r="AN26" s="50">
        <v>93393389.319999993</v>
      </c>
      <c r="AO26" s="50">
        <v>94272989.229999989</v>
      </c>
      <c r="AP26" s="50">
        <v>95236409.200000003</v>
      </c>
      <c r="AQ26" s="50">
        <v>100390351.24999999</v>
      </c>
      <c r="AR26" s="50">
        <v>299824220.08999997</v>
      </c>
      <c r="AS26" s="50">
        <v>300910246.27999997</v>
      </c>
      <c r="AT26" s="50">
        <v>1634311859.4983172</v>
      </c>
      <c r="AU26" s="50">
        <v>108197806</v>
      </c>
      <c r="AV26" s="50">
        <v>92625279.560000002</v>
      </c>
      <c r="AW26" s="50">
        <f>+AW39+AW40+AW42+AW46</f>
        <v>88499581.909999996</v>
      </c>
      <c r="AX26" s="50">
        <v>34591297.660000004</v>
      </c>
      <c r="AY26" s="50">
        <v>33439465.09</v>
      </c>
      <c r="AZ26" s="50">
        <v>29729255.449999999</v>
      </c>
      <c r="BA26" s="50">
        <v>30751332.079999998</v>
      </c>
      <c r="BB26" s="50">
        <v>30484942.600000001</v>
      </c>
      <c r="BC26" s="50">
        <v>28668163.400000002</v>
      </c>
      <c r="BD26" s="50">
        <v>152271258.41</v>
      </c>
      <c r="BE26" s="50">
        <v>166707738.65000001</v>
      </c>
      <c r="BF26" s="50">
        <v>795966120.80496299</v>
      </c>
    </row>
    <row r="27" spans="2:58" s="25" customFormat="1" ht="12" customHeight="1" outlineLevel="2" x14ac:dyDescent="0.2">
      <c r="B27" s="22"/>
      <c r="C27" s="23"/>
      <c r="D27" s="26" t="s">
        <v>31</v>
      </c>
      <c r="E27" s="27">
        <v>170731830</v>
      </c>
      <c r="F27" s="27">
        <f>75791888+701943</f>
        <v>76493831</v>
      </c>
      <c r="G27" s="27">
        <v>206034754</v>
      </c>
      <c r="H27" s="27">
        <f>80157622+598681</f>
        <v>80756303</v>
      </c>
      <c r="I27" s="27">
        <v>224505642</v>
      </c>
      <c r="J27" s="27">
        <f>82855217.17+615880.5</f>
        <v>83471097.670000002</v>
      </c>
      <c r="K27" s="27">
        <v>244018661.35000002</v>
      </c>
      <c r="L27" s="27">
        <v>86035202.559999987</v>
      </c>
      <c r="M27" s="27">
        <v>259224139.85000002</v>
      </c>
      <c r="N27" s="27">
        <v>85919588.969999999</v>
      </c>
      <c r="O27" s="27">
        <v>291443856.96000004</v>
      </c>
      <c r="P27" s="27">
        <v>36383673.07</v>
      </c>
      <c r="Q27" s="27">
        <v>0</v>
      </c>
      <c r="R27" s="27">
        <v>0</v>
      </c>
      <c r="S27" s="27">
        <v>0</v>
      </c>
      <c r="T27" s="27">
        <v>0</v>
      </c>
      <c r="U27" s="27">
        <v>0</v>
      </c>
      <c r="V27" s="27">
        <v>0</v>
      </c>
      <c r="W27" s="27">
        <v>0</v>
      </c>
      <c r="X27" s="27">
        <v>0</v>
      </c>
      <c r="Y27" s="21">
        <v>0</v>
      </c>
      <c r="Z27" s="21">
        <v>0</v>
      </c>
      <c r="AA27" s="21">
        <v>0</v>
      </c>
      <c r="AB27" s="21">
        <v>0</v>
      </c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</row>
    <row r="28" spans="2:58" s="25" customFormat="1" ht="12" customHeight="1" outlineLevel="2" x14ac:dyDescent="0.2">
      <c r="B28" s="22"/>
      <c r="C28" s="23"/>
      <c r="D28" s="26" t="s">
        <v>32</v>
      </c>
      <c r="E28" s="27">
        <v>2356668</v>
      </c>
      <c r="F28" s="27">
        <f>3270075+22347</f>
        <v>3292422</v>
      </c>
      <c r="G28" s="27">
        <v>2843966</v>
      </c>
      <c r="H28" s="27">
        <f>1106442+8264</f>
        <v>1114706</v>
      </c>
      <c r="I28" s="27">
        <v>3098926</v>
      </c>
      <c r="J28" s="27">
        <f>1143678.2+8501.19</f>
        <v>1152179.3899999999</v>
      </c>
      <c r="K28" s="27">
        <v>3368270.92</v>
      </c>
      <c r="L28" s="27">
        <v>1187572.6100000001</v>
      </c>
      <c r="M28" s="27">
        <v>3578157.21</v>
      </c>
      <c r="N28" s="27">
        <v>1185976.7</v>
      </c>
      <c r="O28" s="27">
        <v>4022896.71</v>
      </c>
      <c r="P28" s="27">
        <v>502215.95</v>
      </c>
      <c r="Q28" s="27">
        <v>0</v>
      </c>
      <c r="R28" s="27">
        <v>0</v>
      </c>
      <c r="S28" s="27">
        <v>0</v>
      </c>
      <c r="T28" s="27">
        <v>0</v>
      </c>
      <c r="U28" s="27">
        <v>0</v>
      </c>
      <c r="V28" s="27">
        <v>0</v>
      </c>
      <c r="W28" s="27">
        <v>0</v>
      </c>
      <c r="X28" s="27">
        <v>0</v>
      </c>
      <c r="Y28" s="21">
        <v>0</v>
      </c>
      <c r="Z28" s="21">
        <v>0</v>
      </c>
      <c r="AA28" s="21">
        <v>0</v>
      </c>
      <c r="AB28" s="21">
        <v>0</v>
      </c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</row>
    <row r="29" spans="2:58" s="25" customFormat="1" ht="12" customHeight="1" outlineLevel="2" x14ac:dyDescent="0.2">
      <c r="B29" s="22"/>
      <c r="C29" s="23"/>
      <c r="D29" s="26" t="s">
        <v>33</v>
      </c>
      <c r="E29" s="27">
        <f>22105165+57501757</f>
        <v>79606922</v>
      </c>
      <c r="F29" s="27">
        <f>1765570+0</f>
        <v>1765570</v>
      </c>
      <c r="G29" s="27">
        <v>64185385</v>
      </c>
      <c r="H29" s="27">
        <v>686606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7">
        <v>0</v>
      </c>
      <c r="U29" s="27">
        <v>0</v>
      </c>
      <c r="V29" s="27">
        <v>0</v>
      </c>
      <c r="W29" s="27">
        <v>0</v>
      </c>
      <c r="X29" s="27">
        <v>0</v>
      </c>
      <c r="Y29" s="21">
        <v>0</v>
      </c>
      <c r="Z29" s="21">
        <v>0</v>
      </c>
      <c r="AA29" s="21">
        <v>0</v>
      </c>
      <c r="AB29" s="21">
        <v>0</v>
      </c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</row>
    <row r="30" spans="2:58" s="25" customFormat="1" ht="12" customHeight="1" outlineLevel="2" x14ac:dyDescent="0.2">
      <c r="B30" s="22"/>
      <c r="C30" s="23"/>
      <c r="D30" s="26" t="s">
        <v>34</v>
      </c>
      <c r="E30" s="27">
        <v>24210144</v>
      </c>
      <c r="F30" s="27">
        <v>1227595</v>
      </c>
      <c r="G30" s="27">
        <v>26939937</v>
      </c>
      <c r="H30" s="27">
        <v>827897</v>
      </c>
      <c r="I30" s="27">
        <v>28341669</v>
      </c>
      <c r="J30" s="27">
        <v>307490.02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7">
        <v>0</v>
      </c>
      <c r="U30" s="27">
        <v>0</v>
      </c>
      <c r="V30" s="27">
        <v>0</v>
      </c>
      <c r="W30" s="27">
        <v>0</v>
      </c>
      <c r="X30" s="27">
        <v>0</v>
      </c>
      <c r="Y30" s="21">
        <v>0</v>
      </c>
      <c r="Z30" s="21">
        <v>0</v>
      </c>
      <c r="AA30" s="21">
        <v>0</v>
      </c>
      <c r="AB30" s="21">
        <v>0</v>
      </c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</row>
    <row r="31" spans="2:58" s="25" customFormat="1" ht="12" customHeight="1" outlineLevel="2" x14ac:dyDescent="0.2">
      <c r="B31" s="22"/>
      <c r="C31" s="23"/>
      <c r="D31" s="26" t="s">
        <v>35</v>
      </c>
      <c r="E31" s="27">
        <v>0</v>
      </c>
      <c r="F31" s="27">
        <v>0</v>
      </c>
      <c r="G31" s="27">
        <v>42639787</v>
      </c>
      <c r="H31" s="27">
        <v>8558651</v>
      </c>
      <c r="I31" s="27">
        <v>44724105</v>
      </c>
      <c r="J31" s="27">
        <v>1556287.93</v>
      </c>
      <c r="K31" s="27">
        <v>46483082.220000006</v>
      </c>
      <c r="L31" s="27">
        <v>1360914.07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7">
        <v>0</v>
      </c>
      <c r="U31" s="27">
        <v>0</v>
      </c>
      <c r="V31" s="27">
        <v>0</v>
      </c>
      <c r="W31" s="27">
        <v>0</v>
      </c>
      <c r="X31" s="27">
        <v>0</v>
      </c>
      <c r="Y31" s="21">
        <v>0</v>
      </c>
      <c r="Z31" s="21">
        <v>0</v>
      </c>
      <c r="AA31" s="21">
        <v>0</v>
      </c>
      <c r="AB31" s="21">
        <v>0</v>
      </c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</row>
    <row r="32" spans="2:58" s="25" customFormat="1" ht="12" customHeight="1" outlineLevel="2" x14ac:dyDescent="0.2">
      <c r="B32" s="22"/>
      <c r="C32" s="23"/>
      <c r="D32" s="26" t="s">
        <v>36</v>
      </c>
      <c r="E32" s="27">
        <v>0</v>
      </c>
      <c r="F32" s="27">
        <v>0</v>
      </c>
      <c r="G32" s="27">
        <v>0</v>
      </c>
      <c r="H32" s="27">
        <v>4771372</v>
      </c>
      <c r="I32" s="27">
        <v>38106036</v>
      </c>
      <c r="J32" s="27">
        <v>14053628.369999999</v>
      </c>
      <c r="K32" s="27">
        <v>38106036.096848689</v>
      </c>
      <c r="L32" s="27">
        <v>12711913.950000003</v>
      </c>
      <c r="M32" s="27">
        <v>38106036.109999992</v>
      </c>
      <c r="N32" s="27">
        <v>10388994.220000001</v>
      </c>
      <c r="O32" s="27">
        <v>27422648.219999999</v>
      </c>
      <c r="P32" s="27">
        <v>3629508.91</v>
      </c>
      <c r="Q32" s="27">
        <v>0</v>
      </c>
      <c r="R32" s="27">
        <v>0</v>
      </c>
      <c r="S32" s="27">
        <v>0</v>
      </c>
      <c r="T32" s="27">
        <v>0</v>
      </c>
      <c r="U32" s="27">
        <v>0</v>
      </c>
      <c r="V32" s="27">
        <v>0</v>
      </c>
      <c r="W32" s="27">
        <v>0</v>
      </c>
      <c r="X32" s="27">
        <v>0</v>
      </c>
      <c r="Y32" s="21">
        <v>0</v>
      </c>
      <c r="Z32" s="21">
        <v>0</v>
      </c>
      <c r="AA32" s="21">
        <v>0</v>
      </c>
      <c r="AB32" s="21">
        <v>0</v>
      </c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</row>
    <row r="33" spans="2:58" s="25" customFormat="1" ht="12" customHeight="1" outlineLevel="2" x14ac:dyDescent="0.2">
      <c r="B33" s="22"/>
      <c r="C33" s="23"/>
      <c r="D33" s="26" t="s">
        <v>37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11074685.380000001</v>
      </c>
      <c r="K33" s="27">
        <v>28804129.318727996</v>
      </c>
      <c r="L33" s="27">
        <v>11341843.970587397</v>
      </c>
      <c r="M33" s="27">
        <v>28804129.319999997</v>
      </c>
      <c r="N33" s="27">
        <v>9581227.5700000003</v>
      </c>
      <c r="O33" s="27">
        <v>21164232.209999997</v>
      </c>
      <c r="P33" s="27">
        <v>3458498.25</v>
      </c>
      <c r="Q33" s="27">
        <v>0</v>
      </c>
      <c r="R33" s="27">
        <v>0</v>
      </c>
      <c r="S33" s="27">
        <v>0</v>
      </c>
      <c r="T33" s="27">
        <v>0</v>
      </c>
      <c r="U33" s="27">
        <v>0</v>
      </c>
      <c r="V33" s="27">
        <v>0</v>
      </c>
      <c r="W33" s="27">
        <v>0</v>
      </c>
      <c r="X33" s="27">
        <v>0</v>
      </c>
      <c r="Y33" s="21">
        <v>0</v>
      </c>
      <c r="Z33" s="21">
        <v>0</v>
      </c>
      <c r="AA33" s="21">
        <v>0</v>
      </c>
      <c r="AB33" s="21">
        <v>0</v>
      </c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</row>
    <row r="34" spans="2:58" s="25" customFormat="1" ht="12" customHeight="1" outlineLevel="2" x14ac:dyDescent="0.2">
      <c r="B34" s="22"/>
      <c r="C34" s="23"/>
      <c r="D34" s="26" t="s">
        <v>3</v>
      </c>
      <c r="E34" s="27">
        <v>0</v>
      </c>
      <c r="F34" s="27">
        <v>0</v>
      </c>
      <c r="G34" s="27">
        <v>0</v>
      </c>
      <c r="H34" s="27">
        <v>0</v>
      </c>
      <c r="I34" s="27">
        <v>30318619</v>
      </c>
      <c r="J34" s="27">
        <v>10669069.34</v>
      </c>
      <c r="K34" s="27">
        <v>30318619.077128999</v>
      </c>
      <c r="L34" s="27">
        <v>9655479.6899999995</v>
      </c>
      <c r="M34" s="27">
        <v>30318619.079999998</v>
      </c>
      <c r="N34" s="27">
        <v>7505100.6800000006</v>
      </c>
      <c r="O34" s="27">
        <v>21547188.899999999</v>
      </c>
      <c r="P34" s="27">
        <v>2484407.7000000002</v>
      </c>
      <c r="Q34" s="27">
        <v>0</v>
      </c>
      <c r="R34" s="27">
        <v>0</v>
      </c>
      <c r="S34" s="27">
        <v>0</v>
      </c>
      <c r="T34" s="27">
        <v>0</v>
      </c>
      <c r="U34" s="27">
        <v>0</v>
      </c>
      <c r="V34" s="27">
        <v>0</v>
      </c>
      <c r="W34" s="27">
        <v>0</v>
      </c>
      <c r="X34" s="27">
        <v>0</v>
      </c>
      <c r="Y34" s="21">
        <v>0</v>
      </c>
      <c r="Z34" s="21">
        <v>0</v>
      </c>
      <c r="AA34" s="21">
        <v>0</v>
      </c>
      <c r="AB34" s="21">
        <v>0</v>
      </c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</row>
    <row r="35" spans="2:58" s="25" customFormat="1" ht="12" customHeight="1" outlineLevel="2" x14ac:dyDescent="0.2">
      <c r="B35" s="22"/>
      <c r="C35" s="23"/>
      <c r="D35" s="26" t="s">
        <v>4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33759223.20000001</v>
      </c>
      <c r="L35" s="27">
        <v>11917548.129999999</v>
      </c>
      <c r="M35" s="27">
        <v>33759223.20000001</v>
      </c>
      <c r="N35" s="27">
        <v>10719936.879999999</v>
      </c>
      <c r="O35" s="27">
        <v>24588039.650000002</v>
      </c>
      <c r="P35" s="27">
        <v>3743972.28</v>
      </c>
      <c r="Q35" s="27">
        <v>0</v>
      </c>
      <c r="R35" s="27">
        <v>0</v>
      </c>
      <c r="S35" s="27">
        <v>0</v>
      </c>
      <c r="T35" s="27">
        <v>0</v>
      </c>
      <c r="U35" s="27">
        <v>0</v>
      </c>
      <c r="V35" s="27">
        <v>0</v>
      </c>
      <c r="W35" s="27">
        <v>0</v>
      </c>
      <c r="X35" s="27">
        <v>0</v>
      </c>
      <c r="Y35" s="21">
        <v>0</v>
      </c>
      <c r="Z35" s="21">
        <v>0</v>
      </c>
      <c r="AA35" s="21">
        <v>0</v>
      </c>
      <c r="AB35" s="21">
        <v>0</v>
      </c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</row>
    <row r="36" spans="2:58" s="25" customFormat="1" ht="12" customHeight="1" outlineLevel="2" x14ac:dyDescent="0.2">
      <c r="B36" s="22"/>
      <c r="C36" s="23"/>
      <c r="D36" s="26" t="s">
        <v>5</v>
      </c>
      <c r="E36" s="27">
        <v>99266933</v>
      </c>
      <c r="F36" s="27">
        <v>11586482</v>
      </c>
      <c r="G36" s="27">
        <v>110383942</v>
      </c>
      <c r="H36" s="27">
        <v>10688816</v>
      </c>
      <c r="I36" s="27">
        <v>120341441</v>
      </c>
      <c r="J36" s="27">
        <v>9263147.5600000005</v>
      </c>
      <c r="K36" s="27">
        <v>130844192.90000001</v>
      </c>
      <c r="L36" s="27">
        <v>7491843.9900000002</v>
      </c>
      <c r="M36" s="27">
        <v>139032852.31999999</v>
      </c>
      <c r="N36" s="27">
        <v>5172822.55</v>
      </c>
      <c r="O36" s="27">
        <v>87763009.370000005</v>
      </c>
      <c r="P36" s="27">
        <v>1422587.82</v>
      </c>
      <c r="Q36" s="27">
        <v>0</v>
      </c>
      <c r="R36" s="27">
        <v>0</v>
      </c>
      <c r="S36" s="27">
        <v>0</v>
      </c>
      <c r="T36" s="27">
        <v>0</v>
      </c>
      <c r="U36" s="27">
        <v>0</v>
      </c>
      <c r="V36" s="27">
        <v>0</v>
      </c>
      <c r="W36" s="27">
        <v>0</v>
      </c>
      <c r="X36" s="27">
        <v>0</v>
      </c>
      <c r="Y36" s="21">
        <v>0</v>
      </c>
      <c r="Z36" s="21">
        <v>0</v>
      </c>
      <c r="AA36" s="21">
        <v>0</v>
      </c>
      <c r="AB36" s="21">
        <v>0</v>
      </c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</row>
    <row r="37" spans="2:58" s="25" customFormat="1" ht="12" customHeight="1" outlineLevel="2" x14ac:dyDescent="0.2">
      <c r="B37" s="22"/>
      <c r="C37" s="23"/>
      <c r="D37" s="26" t="s">
        <v>1</v>
      </c>
      <c r="E37" s="27">
        <v>847329</v>
      </c>
      <c r="F37" s="27">
        <v>354623</v>
      </c>
      <c r="G37" s="27">
        <v>898168</v>
      </c>
      <c r="H37" s="27">
        <v>318862</v>
      </c>
      <c r="I37" s="27">
        <v>952058</v>
      </c>
      <c r="J37" s="27">
        <v>249893.4</v>
      </c>
      <c r="K37" s="27">
        <v>1009181.94</v>
      </c>
      <c r="L37" s="27">
        <v>192769.9</v>
      </c>
      <c r="M37" s="27">
        <v>1069732.8600000001</v>
      </c>
      <c r="N37" s="27">
        <v>132218.98000000001</v>
      </c>
      <c r="O37" s="27">
        <v>1133916.83</v>
      </c>
      <c r="P37" s="27">
        <v>68035.009999999995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1"/>
      <c r="Z37" s="21"/>
      <c r="AA37" s="21"/>
      <c r="AB37" s="2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</row>
    <row r="38" spans="2:58" s="25" customFormat="1" ht="12" customHeight="1" outlineLevel="2" x14ac:dyDescent="0.2">
      <c r="B38" s="22"/>
      <c r="C38" s="23"/>
      <c r="D38" s="26" t="s">
        <v>38</v>
      </c>
      <c r="E38" s="27">
        <v>1210099</v>
      </c>
      <c r="F38" s="27">
        <f>71123.97+903100</f>
        <v>974223.97</v>
      </c>
      <c r="G38" s="27">
        <v>1264306</v>
      </c>
      <c r="H38" s="27">
        <f>794968+81230</f>
        <v>876198</v>
      </c>
      <c r="I38" s="27">
        <v>1264306</v>
      </c>
      <c r="J38" s="27">
        <f>684368.67+82399.53</f>
        <v>766768.20000000007</v>
      </c>
      <c r="K38" s="27">
        <v>1268730.96</v>
      </c>
      <c r="L38" s="27">
        <v>661315.56999999995</v>
      </c>
      <c r="M38" s="27">
        <v>1269615.96</v>
      </c>
      <c r="N38" s="27">
        <v>462505.37</v>
      </c>
      <c r="O38" s="27">
        <v>1269615.96</v>
      </c>
      <c r="P38" s="27">
        <v>437270.51</v>
      </c>
      <c r="Q38" s="27">
        <v>1269615.96</v>
      </c>
      <c r="R38" s="27">
        <v>326179.11</v>
      </c>
      <c r="S38" s="27">
        <v>1269615.96</v>
      </c>
      <c r="T38" s="27">
        <v>215741.9</v>
      </c>
      <c r="U38" s="27">
        <v>1192032.7259166667</v>
      </c>
      <c r="V38" s="27">
        <v>104833.51</v>
      </c>
      <c r="W38" s="27">
        <v>513610.13</v>
      </c>
      <c r="X38" s="27">
        <v>21322.75</v>
      </c>
      <c r="Y38" s="21">
        <v>59517.42</v>
      </c>
      <c r="Z38" s="21">
        <v>2924.39</v>
      </c>
      <c r="AA38" s="21">
        <v>5310</v>
      </c>
      <c r="AB38" s="21">
        <v>794.27</v>
      </c>
      <c r="AC38" s="51">
        <v>6195</v>
      </c>
      <c r="AD38" s="51">
        <v>0</v>
      </c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</row>
    <row r="39" spans="2:58" s="25" customFormat="1" ht="12" customHeight="1" outlineLevel="2" x14ac:dyDescent="0.2">
      <c r="B39" s="22"/>
      <c r="C39" s="23"/>
      <c r="D39" s="26" t="s">
        <v>88</v>
      </c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>
        <v>331444793.86940551</v>
      </c>
      <c r="X39" s="27">
        <v>320314060.05968952</v>
      </c>
      <c r="Y39" s="21">
        <v>331444793.86587399</v>
      </c>
      <c r="Z39" s="21">
        <v>300953430.8552537</v>
      </c>
      <c r="AA39" s="21">
        <v>276203994.87881094</v>
      </c>
      <c r="AB39" s="21">
        <v>236665668.72819003</v>
      </c>
      <c r="AC39" s="51">
        <v>77966219.159999996</v>
      </c>
      <c r="AD39" s="51">
        <v>62350041.695720889</v>
      </c>
      <c r="AE39" s="51">
        <v>155932438.31988233</v>
      </c>
      <c r="AF39" s="51">
        <v>114841924.09</v>
      </c>
      <c r="AG39" s="51">
        <v>155932438.31988233</v>
      </c>
      <c r="AH39" s="51">
        <v>105091109.31000002</v>
      </c>
      <c r="AI39" s="51">
        <v>12994369.859999999</v>
      </c>
      <c r="AJ39" s="51">
        <v>12994369.859999999</v>
      </c>
      <c r="AK39" s="51">
        <v>12994369.859999999</v>
      </c>
      <c r="AL39" s="51">
        <v>12994369.859999999</v>
      </c>
      <c r="AM39" s="51">
        <v>12994369.859999999</v>
      </c>
      <c r="AN39" s="51">
        <v>12994369.859999999</v>
      </c>
      <c r="AO39" s="51">
        <v>12994369.859999999</v>
      </c>
      <c r="AP39" s="51">
        <v>12994369.859999999</v>
      </c>
      <c r="AQ39" s="51">
        <v>12994369.859999999</v>
      </c>
      <c r="AR39" s="51">
        <v>12994369.859999999</v>
      </c>
      <c r="AS39" s="51">
        <v>12994369.859999999</v>
      </c>
      <c r="AT39" s="51">
        <v>142938068.45970589</v>
      </c>
      <c r="AU39" s="51">
        <v>8509615.5600000005</v>
      </c>
      <c r="AV39" s="51">
        <v>7626048.5199999996</v>
      </c>
      <c r="AW39" s="51">
        <v>8651717.7100000009</v>
      </c>
      <c r="AX39" s="51">
        <v>8047307.3200000003</v>
      </c>
      <c r="AY39" s="51">
        <v>7718144.3499999996</v>
      </c>
      <c r="AZ39" s="51">
        <v>8452062.6799999997</v>
      </c>
      <c r="BA39" s="51">
        <v>8122814.8600000003</v>
      </c>
      <c r="BB39" s="51">
        <v>8058348.0700000003</v>
      </c>
      <c r="BC39" s="51">
        <v>7735396.1799999997</v>
      </c>
      <c r="BD39" s="51">
        <v>7673013.9500000002</v>
      </c>
      <c r="BE39" s="51">
        <v>7864947.7199999997</v>
      </c>
      <c r="BF39" s="51">
        <v>88459416.915713415</v>
      </c>
    </row>
    <row r="40" spans="2:58" s="25" customFormat="1" ht="12" customHeight="1" outlineLevel="2" x14ac:dyDescent="0.2">
      <c r="B40" s="22"/>
      <c r="C40" s="23"/>
      <c r="D40" s="26" t="s">
        <v>91</v>
      </c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1"/>
      <c r="Z40" s="21"/>
      <c r="AA40" s="21"/>
      <c r="AB40" s="21"/>
      <c r="AC40" s="51">
        <v>0</v>
      </c>
      <c r="AD40" s="51">
        <v>0</v>
      </c>
      <c r="AE40" s="51">
        <v>98708572.563484177</v>
      </c>
      <c r="AF40" s="51">
        <v>35554912.299999997</v>
      </c>
      <c r="AG40" s="51">
        <v>98708572.566968367</v>
      </c>
      <c r="AH40" s="51">
        <v>21460544.959999997</v>
      </c>
      <c r="AI40" s="51">
        <v>8225714.3799999999</v>
      </c>
      <c r="AJ40" s="51">
        <v>8225714.3799999999</v>
      </c>
      <c r="AK40" s="51">
        <v>8225714.3799999999</v>
      </c>
      <c r="AL40" s="51">
        <v>8225714.3799999999</v>
      </c>
      <c r="AM40" s="51">
        <v>8225714.3799999999</v>
      </c>
      <c r="AN40" s="51">
        <v>8225714.3799999999</v>
      </c>
      <c r="AO40" s="51">
        <v>8225714.3799999999</v>
      </c>
      <c r="AP40" s="51">
        <v>8225714.3799999999</v>
      </c>
      <c r="AQ40" s="51">
        <v>8225714.3799999999</v>
      </c>
      <c r="AR40" s="51">
        <v>8225714.3799999999</v>
      </c>
      <c r="AS40" s="51">
        <v>8225714.3799999999</v>
      </c>
      <c r="AT40" s="51">
        <v>90482858.19742094</v>
      </c>
      <c r="AU40" s="51">
        <v>1188600.07</v>
      </c>
      <c r="AV40" s="51">
        <v>984290.49</v>
      </c>
      <c r="AW40" s="51">
        <v>1024356.33</v>
      </c>
      <c r="AX40" s="51">
        <v>864929.76</v>
      </c>
      <c r="AY40" s="51">
        <v>744087.97</v>
      </c>
      <c r="AZ40" s="51">
        <v>720124.7</v>
      </c>
      <c r="BA40" s="51">
        <v>599264.36</v>
      </c>
      <c r="BB40" s="51">
        <v>501041.74</v>
      </c>
      <c r="BC40" s="51">
        <v>389750.18</v>
      </c>
      <c r="BD40" s="51">
        <v>294714.27</v>
      </c>
      <c r="BE40" s="51">
        <v>206373.88</v>
      </c>
      <c r="BF40" s="51">
        <v>7517533.7492495654</v>
      </c>
    </row>
    <row r="41" spans="2:58" s="25" customFormat="1" ht="12" customHeight="1" outlineLevel="2" x14ac:dyDescent="0.2">
      <c r="B41" s="22"/>
      <c r="C41" s="23"/>
      <c r="D41" s="26" t="s">
        <v>85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1">
        <v>0</v>
      </c>
      <c r="Z41" s="21">
        <v>15837842.470000016</v>
      </c>
      <c r="AA41" s="21">
        <v>0</v>
      </c>
      <c r="AB41" s="21">
        <v>115818931.64780834</v>
      </c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51"/>
      <c r="AZ41" s="51"/>
      <c r="BA41" s="51"/>
      <c r="BB41" s="51"/>
      <c r="BC41" s="51"/>
      <c r="BD41" s="51"/>
      <c r="BE41" s="51"/>
      <c r="BF41" s="51"/>
    </row>
    <row r="42" spans="2:58" s="25" customFormat="1" ht="12" customHeight="1" outlineLevel="2" x14ac:dyDescent="0.2">
      <c r="B42" s="22"/>
      <c r="C42" s="23"/>
      <c r="D42" s="26" t="s">
        <v>67</v>
      </c>
      <c r="E42" s="27">
        <f>1195556+2796845+1984310+2725180+1329297.62+1924921.4+933774.72+1119072.33+1069.42</f>
        <v>14010026.490000002</v>
      </c>
      <c r="F42" s="18">
        <f>895349+212962+234950+84485+2174693.28+1228921.39+688446.62+682492.52+778758+138373.86</f>
        <v>7119431.6700000009</v>
      </c>
      <c r="G42" s="27">
        <f>8954688+2306130+1118436+1370682+594995+1328777+3026082+2205125</f>
        <v>20904915</v>
      </c>
      <c r="H42" s="18">
        <f>6727906+1469172+835220+726248+960394+162197+123849+206248+754188+103804</f>
        <v>12069226</v>
      </c>
      <c r="I42" s="27">
        <f>1448106+3281954+97273+12691684.14+2777970.34+1347316.58+2305880.03+1650984.09+1051140.51</f>
        <v>26652308.690000005</v>
      </c>
      <c r="J42" s="27">
        <f>160375.82+555700+929+8263637.23+1492818.58+860131.65+704772.8+979971.09+174393.62+139563.38</f>
        <v>13332293.170000002</v>
      </c>
      <c r="K42" s="27">
        <v>31124953.510000002</v>
      </c>
      <c r="L42" s="27">
        <v>11826855.509999998</v>
      </c>
      <c r="M42" s="27">
        <v>34397201.610000007</v>
      </c>
      <c r="N42" s="27">
        <v>9971817.9700000007</v>
      </c>
      <c r="O42" s="27">
        <v>34830110.869999997</v>
      </c>
      <c r="P42" s="27">
        <v>9354147.9199999999</v>
      </c>
      <c r="Q42" s="27">
        <v>34470305.150000006</v>
      </c>
      <c r="R42" s="27">
        <v>7545184.0899999989</v>
      </c>
      <c r="S42" s="27">
        <v>48744482.140000001</v>
      </c>
      <c r="T42" s="27">
        <v>6706695.6799999997</v>
      </c>
      <c r="U42" s="27">
        <v>52360382.629999995</v>
      </c>
      <c r="V42" s="27">
        <v>5115507.53</v>
      </c>
      <c r="W42" s="27">
        <v>44134803.440000005</v>
      </c>
      <c r="X42" s="27">
        <v>5144804.95</v>
      </c>
      <c r="Y42" s="21">
        <v>17666968.16</v>
      </c>
      <c r="Z42" s="21">
        <v>4712797.3099999996</v>
      </c>
      <c r="AA42" s="21">
        <v>23528468.740000002</v>
      </c>
      <c r="AB42" s="21">
        <v>4700876.5199999996</v>
      </c>
      <c r="AC42" s="51">
        <v>29741185.299999993</v>
      </c>
      <c r="AD42" s="51">
        <v>4651490.3800000008</v>
      </c>
      <c r="AE42" s="51">
        <v>25206569.649999995</v>
      </c>
      <c r="AF42" s="51">
        <v>5721010.1499999762</v>
      </c>
      <c r="AG42" s="51">
        <v>102410114.48000002</v>
      </c>
      <c r="AH42" s="51">
        <v>185351706.03999996</v>
      </c>
      <c r="AI42" s="51">
        <v>67060933.329999998</v>
      </c>
      <c r="AJ42" s="51">
        <v>67990918.459999993</v>
      </c>
      <c r="AK42" s="51">
        <v>69239341.560000002</v>
      </c>
      <c r="AL42" s="51">
        <v>70259381.030000001</v>
      </c>
      <c r="AM42" s="51">
        <v>71253459.379999995</v>
      </c>
      <c r="AN42" s="51">
        <v>72173305.079999998</v>
      </c>
      <c r="AO42" s="51">
        <v>73052904.989999995</v>
      </c>
      <c r="AP42" s="51">
        <v>74016324.960000008</v>
      </c>
      <c r="AQ42" s="51">
        <v>76670267.00999999</v>
      </c>
      <c r="AR42" s="51">
        <v>77724365.699999988</v>
      </c>
      <c r="AS42" s="51">
        <v>78810391.890000015</v>
      </c>
      <c r="AT42" s="51">
        <v>798251622.38999987</v>
      </c>
      <c r="AU42" s="51">
        <v>27622755.959999993</v>
      </c>
      <c r="AV42" s="51">
        <v>30057001.830000002</v>
      </c>
      <c r="AW42" s="51">
        <v>24798989.640000001</v>
      </c>
      <c r="AX42" s="51">
        <v>25679060.580000002</v>
      </c>
      <c r="AY42" s="51">
        <v>24977232.77</v>
      </c>
      <c r="AZ42" s="51">
        <v>20557068.07</v>
      </c>
      <c r="BA42" s="51">
        <v>22029252.859999999</v>
      </c>
      <c r="BB42" s="51">
        <v>21925552.790000003</v>
      </c>
      <c r="BC42" s="51">
        <v>20543017.040000003</v>
      </c>
      <c r="BD42" s="51">
        <v>20534444.43</v>
      </c>
      <c r="BE42" s="51">
        <v>22500304.420000002</v>
      </c>
      <c r="BF42" s="51">
        <v>261224680.38999999</v>
      </c>
    </row>
    <row r="43" spans="2:58" s="25" customFormat="1" ht="12" customHeight="1" outlineLevel="2" x14ac:dyDescent="0.25">
      <c r="B43" s="22"/>
      <c r="C43" s="23"/>
      <c r="D43" s="26" t="s">
        <v>39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16998104.900000002</v>
      </c>
      <c r="M43" s="27">
        <v>44078369.400000006</v>
      </c>
      <c r="N43" s="27">
        <v>17306658.609999999</v>
      </c>
      <c r="O43" s="27">
        <v>33053801.108999997</v>
      </c>
      <c r="P43" s="27">
        <v>6386578.7400000002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/>
      <c r="X43" s="27"/>
      <c r="Y43" s="19"/>
      <c r="Z43" s="19"/>
      <c r="AA43" s="19"/>
      <c r="AB43" s="19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</row>
    <row r="44" spans="2:58" s="25" customFormat="1" ht="12" customHeight="1" outlineLevel="2" x14ac:dyDescent="0.25">
      <c r="B44" s="22"/>
      <c r="C44" s="23"/>
      <c r="D44" s="26" t="s">
        <v>40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22482613.120000001</v>
      </c>
      <c r="O44" s="27">
        <v>44733973.989999995</v>
      </c>
      <c r="P44" s="27">
        <v>9923986.9900000021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19">
        <v>0</v>
      </c>
      <c r="Z44" s="19">
        <v>0</v>
      </c>
      <c r="AA44" s="19">
        <v>0</v>
      </c>
      <c r="AB44" s="19">
        <v>0</v>
      </c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</row>
    <row r="45" spans="2:58" s="25" customFormat="1" ht="12" customHeight="1" outlineLevel="2" x14ac:dyDescent="0.25">
      <c r="B45" s="22"/>
      <c r="C45" s="23"/>
      <c r="D45" s="26" t="s">
        <v>41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9225371.2200000007</v>
      </c>
      <c r="P45" s="27">
        <v>12033092.890000001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19">
        <v>0</v>
      </c>
      <c r="Z45" s="19">
        <v>0</v>
      </c>
      <c r="AA45" s="19">
        <v>0</v>
      </c>
      <c r="AB45" s="19">
        <v>0</v>
      </c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</row>
    <row r="46" spans="2:58" s="25" customFormat="1" ht="12" customHeight="1" outlineLevel="2" x14ac:dyDescent="0.25">
      <c r="B46" s="22"/>
      <c r="C46" s="23"/>
      <c r="D46" s="26" t="s">
        <v>96</v>
      </c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19"/>
      <c r="Z46" s="19"/>
      <c r="AA46" s="19"/>
      <c r="AB46" s="19"/>
      <c r="AC46" s="50"/>
      <c r="AD46" s="50"/>
      <c r="AE46" s="50">
        <v>0</v>
      </c>
      <c r="AF46" s="51">
        <v>467445241.69</v>
      </c>
      <c r="AG46" s="50">
        <v>661265900.50023806</v>
      </c>
      <c r="AH46" s="51">
        <v>1241607801.22</v>
      </c>
      <c r="AI46" s="51">
        <v>66126590.049999997</v>
      </c>
      <c r="AJ46" s="51">
        <v>66126590.049999997</v>
      </c>
      <c r="AK46" s="51">
        <v>66126590.049999997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v>198379770.14999998</v>
      </c>
      <c r="AS46" s="51">
        <v>198379770.14999998</v>
      </c>
      <c r="AT46" s="51">
        <v>595139310.45119047</v>
      </c>
      <c r="AU46" s="51">
        <v>70876834.409999996</v>
      </c>
      <c r="AV46" s="51">
        <v>53957938.719999999</v>
      </c>
      <c r="AW46" s="51">
        <v>54024518.229999997</v>
      </c>
      <c r="AX46" s="51">
        <v>0</v>
      </c>
      <c r="AY46" s="51">
        <v>0</v>
      </c>
      <c r="AZ46" s="51">
        <v>0</v>
      </c>
      <c r="BA46" s="51">
        <v>0</v>
      </c>
      <c r="BB46" s="51">
        <v>0</v>
      </c>
      <c r="BC46" s="51">
        <v>0</v>
      </c>
      <c r="BD46" s="51">
        <v>123769085.76000001</v>
      </c>
      <c r="BE46" s="51">
        <v>136136112.63</v>
      </c>
      <c r="BF46" s="51">
        <v>438764489.75</v>
      </c>
    </row>
    <row r="47" spans="2:58" s="25" customFormat="1" ht="12" customHeight="1" outlineLevel="2" x14ac:dyDescent="0.25">
      <c r="B47" s="22"/>
      <c r="C47" s="23"/>
      <c r="D47" s="54" t="s">
        <v>97</v>
      </c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19"/>
      <c r="Z47" s="19"/>
      <c r="AA47" s="19"/>
      <c r="AB47" s="19"/>
      <c r="AC47" s="50"/>
      <c r="AD47" s="50"/>
      <c r="AE47" s="50"/>
      <c r="AF47" s="51"/>
      <c r="AG47" s="50">
        <v>0</v>
      </c>
      <c r="AH47" s="51">
        <v>0</v>
      </c>
      <c r="AI47" s="51">
        <v>0</v>
      </c>
      <c r="AJ47" s="51"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2500000</v>
      </c>
      <c r="AR47" s="51">
        <v>2500000</v>
      </c>
      <c r="AS47" s="51">
        <v>2500000</v>
      </c>
      <c r="AT47" s="51">
        <v>7500000</v>
      </c>
      <c r="AU47" s="51">
        <v>0</v>
      </c>
      <c r="AV47" s="51">
        <v>0</v>
      </c>
      <c r="AW47" s="51">
        <v>0</v>
      </c>
      <c r="AX47" s="51">
        <v>0</v>
      </c>
      <c r="AY47" s="51">
        <v>0</v>
      </c>
      <c r="AZ47" s="51"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</row>
    <row r="48" spans="2:58" s="25" customFormat="1" ht="12" customHeight="1" outlineLevel="2" x14ac:dyDescent="0.25">
      <c r="B48" s="22"/>
      <c r="C48" s="23"/>
      <c r="D48" s="54" t="s">
        <v>112</v>
      </c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19"/>
      <c r="Z48" s="19"/>
      <c r="AA48" s="19"/>
      <c r="AB48" s="19"/>
      <c r="AC48" s="50"/>
      <c r="AD48" s="50"/>
      <c r="AE48" s="50"/>
      <c r="AF48" s="51"/>
      <c r="AG48" s="50"/>
      <c r="AH48" s="51"/>
      <c r="AI48" s="51">
        <v>0</v>
      </c>
      <c r="AJ48" s="51">
        <v>0</v>
      </c>
      <c r="AK48" s="51">
        <v>0</v>
      </c>
      <c r="AL48" s="51"/>
      <c r="AM48" s="51"/>
      <c r="AN48" s="51"/>
      <c r="AO48" s="51"/>
      <c r="AP48" s="51"/>
      <c r="AQ48" s="51"/>
      <c r="AR48" s="51"/>
      <c r="AS48" s="51"/>
      <c r="AT48" s="51"/>
      <c r="AU48" s="51">
        <v>0</v>
      </c>
      <c r="AV48" s="51">
        <v>0</v>
      </c>
      <c r="AW48" s="51">
        <v>0</v>
      </c>
      <c r="AX48" s="51"/>
      <c r="AY48" s="51"/>
      <c r="AZ48" s="51"/>
      <c r="BA48" s="51"/>
      <c r="BB48" s="51"/>
      <c r="BC48" s="51"/>
      <c r="BD48" s="51"/>
      <c r="BE48" s="51"/>
      <c r="BF48" s="51"/>
    </row>
    <row r="49" spans="2:58" s="25" customFormat="1" ht="12" customHeight="1" outlineLevel="1" x14ac:dyDescent="0.25">
      <c r="B49" s="28"/>
      <c r="C49" s="16"/>
      <c r="D49" s="17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38"/>
      <c r="V49" s="38"/>
      <c r="W49" s="38"/>
      <c r="X49" s="38"/>
      <c r="Y49" s="19"/>
      <c r="Z49" s="19"/>
      <c r="AA49" s="19"/>
      <c r="AB49" s="19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</row>
    <row r="50" spans="2:58" s="25" customFormat="1" ht="12" customHeight="1" outlineLevel="2" x14ac:dyDescent="0.25">
      <c r="B50" s="22"/>
      <c r="C50" s="23" t="s">
        <v>42</v>
      </c>
      <c r="D50" s="24"/>
      <c r="E50" s="18">
        <f>SUM(E51)</f>
        <v>320055</v>
      </c>
      <c r="F50" s="18">
        <f>SUM(F51:F52)</f>
        <v>76804</v>
      </c>
      <c r="G50" s="18">
        <f>SUM(G51)</f>
        <v>119485</v>
      </c>
      <c r="H50" s="18">
        <f>SUM(H51:H52)</f>
        <v>9367</v>
      </c>
      <c r="I50" s="18">
        <f>SUM(I51)</f>
        <v>725</v>
      </c>
      <c r="J50" s="18">
        <f>SUM(J51:J52)</f>
        <v>15.22</v>
      </c>
      <c r="K50" s="18">
        <f>SUM(K51)</f>
        <v>0</v>
      </c>
      <c r="L50" s="18">
        <f>SUM(L51:L52)</f>
        <v>0</v>
      </c>
      <c r="M50" s="18">
        <f>SUM(M51)</f>
        <v>0</v>
      </c>
      <c r="N50" s="18">
        <f>SUM(N51:N52)</f>
        <v>0</v>
      </c>
      <c r="O50" s="18">
        <f>SUM(O51)</f>
        <v>0</v>
      </c>
      <c r="P50" s="18">
        <f>SUM(P51:P52)</f>
        <v>0</v>
      </c>
      <c r="Q50" s="18">
        <f>SUM(Q51)</f>
        <v>0</v>
      </c>
      <c r="R50" s="18">
        <f t="shared" ref="R50:X50" si="10">SUM(R51:R52)</f>
        <v>17398.486106442288</v>
      </c>
      <c r="S50" s="18">
        <f t="shared" si="10"/>
        <v>32860000</v>
      </c>
      <c r="T50" s="18">
        <f t="shared" si="10"/>
        <v>2601039.9836842106</v>
      </c>
      <c r="U50" s="18">
        <f t="shared" si="10"/>
        <v>0</v>
      </c>
      <c r="V50" s="18">
        <f t="shared" si="10"/>
        <v>0</v>
      </c>
      <c r="W50" s="18">
        <f t="shared" si="10"/>
        <v>0</v>
      </c>
      <c r="X50" s="18">
        <f t="shared" si="10"/>
        <v>0</v>
      </c>
      <c r="Y50" s="19">
        <f t="shared" ref="Y50:AB50" si="11">SUM(Y51:Y52)</f>
        <v>0</v>
      </c>
      <c r="Z50" s="19">
        <f t="shared" si="11"/>
        <v>0</v>
      </c>
      <c r="AA50" s="19">
        <f t="shared" si="11"/>
        <v>0</v>
      </c>
      <c r="AB50" s="19">
        <f t="shared" si="11"/>
        <v>0</v>
      </c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</row>
    <row r="51" spans="2:58" s="25" customFormat="1" ht="12" customHeight="1" outlineLevel="2" x14ac:dyDescent="0.25">
      <c r="B51" s="22"/>
      <c r="C51" s="23"/>
      <c r="D51" s="26" t="s">
        <v>2</v>
      </c>
      <c r="E51" s="27">
        <v>320055</v>
      </c>
      <c r="F51" s="27">
        <v>76804</v>
      </c>
      <c r="G51" s="27">
        <v>119485</v>
      </c>
      <c r="H51" s="27">
        <v>9367</v>
      </c>
      <c r="I51" s="27">
        <v>725</v>
      </c>
      <c r="J51" s="27">
        <v>15.22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19">
        <v>0</v>
      </c>
      <c r="Z51" s="19">
        <v>0</v>
      </c>
      <c r="AA51" s="19">
        <v>0</v>
      </c>
      <c r="AB51" s="19">
        <v>0</v>
      </c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</row>
    <row r="52" spans="2:58" s="25" customFormat="1" ht="12" customHeight="1" outlineLevel="2" x14ac:dyDescent="0.25">
      <c r="B52" s="22"/>
      <c r="C52" s="23"/>
      <c r="D52" s="26" t="s">
        <v>62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17398.486106442288</v>
      </c>
      <c r="S52" s="27">
        <v>32860000</v>
      </c>
      <c r="T52" s="27">
        <v>2601039.9836842106</v>
      </c>
      <c r="U52" s="27">
        <v>0</v>
      </c>
      <c r="V52" s="27">
        <v>0</v>
      </c>
      <c r="W52" s="27">
        <v>0</v>
      </c>
      <c r="X52" s="27">
        <v>0</v>
      </c>
      <c r="Y52" s="19">
        <v>0</v>
      </c>
      <c r="Z52" s="19">
        <v>0</v>
      </c>
      <c r="AA52" s="19">
        <v>0</v>
      </c>
      <c r="AB52" s="19">
        <v>0</v>
      </c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</row>
    <row r="53" spans="2:58" s="25" customFormat="1" ht="12" customHeight="1" outlineLevel="1" x14ac:dyDescent="0.25">
      <c r="B53" s="28"/>
      <c r="C53" s="16"/>
      <c r="D53" s="17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38"/>
      <c r="V53" s="38"/>
      <c r="W53" s="38"/>
      <c r="X53" s="38"/>
      <c r="Y53" s="19"/>
      <c r="Z53" s="19"/>
      <c r="AA53" s="19"/>
      <c r="AB53" s="19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</row>
    <row r="54" spans="2:58" s="25" customFormat="1" ht="12" customHeight="1" outlineLevel="2" x14ac:dyDescent="0.25">
      <c r="B54" s="22"/>
      <c r="C54" s="23" t="s">
        <v>43</v>
      </c>
      <c r="D54" s="24"/>
      <c r="E54" s="18">
        <f t="shared" ref="E54:P54" si="12">SUM(E55)</f>
        <v>683828</v>
      </c>
      <c r="F54" s="18">
        <f t="shared" si="12"/>
        <v>19771</v>
      </c>
      <c r="G54" s="18">
        <f t="shared" si="12"/>
        <v>552092</v>
      </c>
      <c r="H54" s="18">
        <f t="shared" si="12"/>
        <v>5243</v>
      </c>
      <c r="I54" s="18">
        <f t="shared" si="12"/>
        <v>200097</v>
      </c>
      <c r="J54" s="18">
        <f t="shared" si="12"/>
        <v>16156.2</v>
      </c>
      <c r="K54" s="18">
        <f t="shared" si="12"/>
        <v>0</v>
      </c>
      <c r="L54" s="18">
        <f t="shared" si="12"/>
        <v>0</v>
      </c>
      <c r="M54" s="18">
        <f t="shared" si="12"/>
        <v>0</v>
      </c>
      <c r="N54" s="18">
        <f t="shared" si="12"/>
        <v>0</v>
      </c>
      <c r="O54" s="18">
        <f t="shared" si="12"/>
        <v>0</v>
      </c>
      <c r="P54" s="18">
        <f t="shared" si="12"/>
        <v>0</v>
      </c>
      <c r="Q54" s="18">
        <f t="shared" ref="Q54:Z54" si="13">SUM(Q55)</f>
        <v>0</v>
      </c>
      <c r="R54" s="18">
        <f t="shared" si="13"/>
        <v>0</v>
      </c>
      <c r="S54" s="18">
        <f t="shared" si="13"/>
        <v>0</v>
      </c>
      <c r="T54" s="18">
        <f t="shared" si="13"/>
        <v>0</v>
      </c>
      <c r="U54" s="18">
        <f t="shared" si="13"/>
        <v>0</v>
      </c>
      <c r="V54" s="18">
        <f t="shared" si="13"/>
        <v>0</v>
      </c>
      <c r="W54" s="18">
        <f t="shared" si="13"/>
        <v>0</v>
      </c>
      <c r="X54" s="18">
        <f t="shared" si="13"/>
        <v>0</v>
      </c>
      <c r="Y54" s="19">
        <f t="shared" si="13"/>
        <v>0</v>
      </c>
      <c r="Z54" s="19">
        <f t="shared" si="13"/>
        <v>0</v>
      </c>
      <c r="AA54" s="19">
        <f>SUM(AA55)</f>
        <v>0</v>
      </c>
      <c r="AB54" s="19">
        <f>SUM(AB55)</f>
        <v>0</v>
      </c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>
        <v>21903.49</v>
      </c>
      <c r="AT54" s="50">
        <v>21903.49</v>
      </c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>
        <v>875.56</v>
      </c>
      <c r="BF54" s="50">
        <v>875.56</v>
      </c>
    </row>
    <row r="55" spans="2:58" s="25" customFormat="1" ht="12" customHeight="1" outlineLevel="1" x14ac:dyDescent="0.25">
      <c r="B55" s="28"/>
      <c r="C55" s="16"/>
      <c r="D55" s="55" t="s">
        <v>44</v>
      </c>
      <c r="E55" s="21">
        <v>683828</v>
      </c>
      <c r="F55" s="21">
        <v>19771</v>
      </c>
      <c r="G55" s="21">
        <v>552092</v>
      </c>
      <c r="H55" s="21">
        <v>5243</v>
      </c>
      <c r="I55" s="21">
        <v>200097</v>
      </c>
      <c r="J55" s="21">
        <v>16156.2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  <c r="Q55" s="21">
        <v>0</v>
      </c>
      <c r="R55" s="21">
        <v>0</v>
      </c>
      <c r="S55" s="21">
        <v>0</v>
      </c>
      <c r="T55" s="21">
        <v>0</v>
      </c>
      <c r="U55" s="38">
        <v>0</v>
      </c>
      <c r="V55" s="38">
        <v>0</v>
      </c>
      <c r="W55" s="38">
        <v>0</v>
      </c>
      <c r="X55" s="38">
        <v>0</v>
      </c>
      <c r="Y55" s="19">
        <v>0</v>
      </c>
      <c r="Z55" s="19">
        <v>0</v>
      </c>
      <c r="AA55" s="19">
        <v>0</v>
      </c>
      <c r="AB55" s="19">
        <v>0</v>
      </c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1">
        <v>21903.49</v>
      </c>
      <c r="AT55" s="51">
        <v>21903.49</v>
      </c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1">
        <v>875.56</v>
      </c>
      <c r="BF55" s="51">
        <v>875.56</v>
      </c>
    </row>
    <row r="56" spans="2:58" s="25" customFormat="1" ht="12" customHeight="1" outlineLevel="1" x14ac:dyDescent="0.25">
      <c r="B56" s="28"/>
      <c r="C56" s="16"/>
      <c r="D56" s="17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38"/>
      <c r="V56" s="38"/>
      <c r="W56" s="38"/>
      <c r="X56" s="38"/>
      <c r="Y56" s="19"/>
      <c r="Z56" s="19"/>
      <c r="AA56" s="19"/>
      <c r="AB56" s="19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</row>
    <row r="57" spans="2:58" s="25" customFormat="1" ht="12" customHeight="1" outlineLevel="2" x14ac:dyDescent="0.25">
      <c r="B57" s="22"/>
      <c r="C57" s="23" t="s">
        <v>129</v>
      </c>
      <c r="D57" s="24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39"/>
      <c r="V57" s="39"/>
      <c r="W57" s="39"/>
      <c r="X57" s="39"/>
      <c r="Y57" s="19"/>
      <c r="Z57" s="19"/>
      <c r="AA57" s="19"/>
      <c r="AB57" s="19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</row>
    <row r="58" spans="2:58" s="25" customFormat="1" ht="12" customHeight="1" x14ac:dyDescent="0.25">
      <c r="B58" s="22"/>
      <c r="C58" s="23"/>
      <c r="D58" s="26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39"/>
      <c r="V58" s="39"/>
      <c r="W58" s="39"/>
      <c r="X58" s="39"/>
      <c r="Y58" s="19"/>
      <c r="Z58" s="19"/>
      <c r="AA58" s="19"/>
      <c r="AB58" s="19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</row>
    <row r="59" spans="2:58" s="25" customFormat="1" ht="12" customHeight="1" x14ac:dyDescent="0.25">
      <c r="B59" s="22"/>
      <c r="C59" s="23" t="s">
        <v>130</v>
      </c>
      <c r="D59" s="26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39"/>
      <c r="V59" s="39"/>
      <c r="W59" s="39"/>
      <c r="X59" s="39"/>
      <c r="Y59" s="19"/>
      <c r="Z59" s="19"/>
      <c r="AA59" s="19"/>
      <c r="AB59" s="19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>
        <v>0</v>
      </c>
      <c r="AR59" s="50">
        <v>0</v>
      </c>
      <c r="AS59" s="50">
        <v>0</v>
      </c>
      <c r="AT59" s="50">
        <v>0</v>
      </c>
      <c r="AU59" s="50"/>
      <c r="AV59" s="50"/>
      <c r="AW59" s="50"/>
      <c r="AX59" s="50"/>
      <c r="AY59" s="50"/>
      <c r="AZ59" s="50"/>
      <c r="BA59" s="50"/>
      <c r="BB59" s="50"/>
      <c r="BC59" s="50">
        <v>374548408.04000002</v>
      </c>
      <c r="BD59" s="50">
        <v>0</v>
      </c>
      <c r="BE59" s="50">
        <v>0</v>
      </c>
      <c r="BF59" s="50">
        <v>374548408.03602737</v>
      </c>
    </row>
    <row r="60" spans="2:58" s="25" customFormat="1" ht="12" customHeight="1" x14ac:dyDescent="0.25">
      <c r="B60" s="22"/>
      <c r="C60" s="23"/>
      <c r="D60" s="26" t="s">
        <v>122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39"/>
      <c r="V60" s="39"/>
      <c r="W60" s="39"/>
      <c r="X60" s="39"/>
      <c r="Y60" s="19"/>
      <c r="Z60" s="19"/>
      <c r="AA60" s="19"/>
      <c r="AB60" s="19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>
        <v>0</v>
      </c>
      <c r="AR60" s="50">
        <v>0</v>
      </c>
      <c r="AS60" s="50">
        <v>0</v>
      </c>
      <c r="AT60" s="50">
        <v>0</v>
      </c>
      <c r="AU60" s="50"/>
      <c r="AV60" s="50"/>
      <c r="AW60" s="50"/>
      <c r="AX60" s="50"/>
      <c r="AY60" s="50"/>
      <c r="AZ60" s="50"/>
      <c r="BA60" s="50"/>
      <c r="BB60" s="50"/>
      <c r="BC60" s="50">
        <v>374548408.04000002</v>
      </c>
      <c r="BD60" s="50">
        <v>0</v>
      </c>
      <c r="BE60" s="50">
        <v>0</v>
      </c>
      <c r="BF60" s="50">
        <v>374548408.03602737</v>
      </c>
    </row>
    <row r="61" spans="2:58" s="14" customFormat="1" ht="12" customHeight="1" x14ac:dyDescent="0.25">
      <c r="B61" s="22"/>
      <c r="C61" s="23"/>
      <c r="D61" s="26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39"/>
      <c r="V61" s="39"/>
      <c r="W61" s="39"/>
      <c r="X61" s="39"/>
      <c r="Y61" s="19"/>
      <c r="Z61" s="19"/>
      <c r="AA61" s="19"/>
      <c r="AB61" s="19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</row>
    <row r="62" spans="2:58" s="14" customFormat="1" ht="12" customHeight="1" outlineLevel="1" x14ac:dyDescent="0.25">
      <c r="B62" s="15" t="s">
        <v>45</v>
      </c>
      <c r="C62" s="16"/>
      <c r="D62" s="17"/>
      <c r="E62" s="18">
        <f t="shared" ref="E62:P62" si="14">+E64+E95+E108</f>
        <v>118384193</v>
      </c>
      <c r="F62" s="19">
        <f t="shared" si="14"/>
        <v>134365731.18000001</v>
      </c>
      <c r="G62" s="18">
        <f t="shared" si="14"/>
        <v>173677659</v>
      </c>
      <c r="H62" s="19">
        <f t="shared" si="14"/>
        <v>91166275</v>
      </c>
      <c r="I62" s="18">
        <f t="shared" si="14"/>
        <v>202942770.15000001</v>
      </c>
      <c r="J62" s="19">
        <f t="shared" si="14"/>
        <v>101402493.19</v>
      </c>
      <c r="K62" s="18">
        <f t="shared" si="14"/>
        <v>225527046.89053506</v>
      </c>
      <c r="L62" s="19">
        <f t="shared" si="14"/>
        <v>94056067.107459933</v>
      </c>
      <c r="M62" s="18">
        <f t="shared" si="14"/>
        <v>262443915.78548828</v>
      </c>
      <c r="N62" s="19">
        <f t="shared" si="14"/>
        <v>106216071.02666919</v>
      </c>
      <c r="O62" s="18">
        <f t="shared" si="14"/>
        <v>381146621.58684361</v>
      </c>
      <c r="P62" s="19">
        <f t="shared" si="14"/>
        <v>153393683.61339355</v>
      </c>
      <c r="Q62" s="18">
        <f t="shared" ref="Q62:AB62" si="15">+Q64+Q95+Q108+Q119</f>
        <v>366811620.61261851</v>
      </c>
      <c r="R62" s="19">
        <f t="shared" si="15"/>
        <v>453222671.758237</v>
      </c>
      <c r="S62" s="18">
        <f t="shared" si="15"/>
        <v>399569316.75778925</v>
      </c>
      <c r="T62" s="19">
        <f t="shared" si="15"/>
        <v>479592787.39539659</v>
      </c>
      <c r="U62" s="19">
        <f t="shared" si="15"/>
        <v>1629586790.1164184</v>
      </c>
      <c r="V62" s="19">
        <f t="shared" si="15"/>
        <v>648347714.94889045</v>
      </c>
      <c r="W62" s="19">
        <f t="shared" si="15"/>
        <v>728152507.48090005</v>
      </c>
      <c r="X62" s="19">
        <f t="shared" si="15"/>
        <v>795821531.49142945</v>
      </c>
      <c r="Y62" s="19">
        <f t="shared" si="15"/>
        <v>820797849.98000002</v>
      </c>
      <c r="Z62" s="19">
        <f t="shared" si="15"/>
        <v>857620447.29399991</v>
      </c>
      <c r="AA62" s="19">
        <f t="shared" si="15"/>
        <v>1006162317.1299999</v>
      </c>
      <c r="AB62" s="19">
        <f t="shared" si="15"/>
        <v>1795595308.5929406</v>
      </c>
      <c r="AC62" s="50">
        <v>8115976742.001894</v>
      </c>
      <c r="AD62" s="50">
        <v>2592037314.7822881</v>
      </c>
      <c r="AE62" s="50">
        <v>1204900017.2800002</v>
      </c>
      <c r="AF62" s="50">
        <v>5004132173.0587234</v>
      </c>
      <c r="AG62" s="50">
        <v>4452505966.7800007</v>
      </c>
      <c r="AH62" s="50">
        <v>8522330083.5031033</v>
      </c>
      <c r="AI62" s="50">
        <v>739000740.64530003</v>
      </c>
      <c r="AJ62" s="50">
        <v>433592278.1287303</v>
      </c>
      <c r="AK62" s="50">
        <f>+AK64+AK95+AK108+AK119</f>
        <v>67881545.866816849</v>
      </c>
      <c r="AL62" s="50">
        <v>690306104.22618818</v>
      </c>
      <c r="AM62" s="50">
        <v>2452237114.4920712</v>
      </c>
      <c r="AN62" s="50">
        <v>33779590.665999994</v>
      </c>
      <c r="AO62" s="50">
        <v>872039654.44780004</v>
      </c>
      <c r="AP62" s="50">
        <v>495811186.51808709</v>
      </c>
      <c r="AQ62" s="50">
        <v>226248494.66930312</v>
      </c>
      <c r="AR62" s="50">
        <v>742608454.92079997</v>
      </c>
      <c r="AS62" s="50">
        <v>2833071279.98</v>
      </c>
      <c r="AT62" s="50">
        <v>9586576444.5699997</v>
      </c>
      <c r="AU62" s="50">
        <v>1312270512.2744</v>
      </c>
      <c r="AV62" s="50">
        <v>1229086440.2012699</v>
      </c>
      <c r="AW62" s="50">
        <f>+AW64+AW95+AW108+AW119</f>
        <v>4075039.2</v>
      </c>
      <c r="AX62" s="50">
        <v>332875293.03381008</v>
      </c>
      <c r="AY62" s="50">
        <v>790027894.35726464</v>
      </c>
      <c r="AZ62" s="50">
        <v>1813147237.1932001</v>
      </c>
      <c r="BA62" s="50">
        <v>1534673663.7426</v>
      </c>
      <c r="BB62" s="50">
        <v>1450233200.2009528</v>
      </c>
      <c r="BC62" s="50">
        <v>69702279.359676912</v>
      </c>
      <c r="BD62" s="50">
        <v>328937340.20779997</v>
      </c>
      <c r="BE62" s="50">
        <v>670571619.22520006</v>
      </c>
      <c r="BF62" s="50">
        <v>9535600519.0093098</v>
      </c>
    </row>
    <row r="63" spans="2:58" s="25" customFormat="1" ht="12" customHeight="1" outlineLevel="1" x14ac:dyDescent="0.25">
      <c r="B63" s="28"/>
      <c r="C63" s="16"/>
      <c r="D63" s="17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38"/>
      <c r="V63" s="38"/>
      <c r="W63" s="38"/>
      <c r="X63" s="38"/>
      <c r="Y63" s="19"/>
      <c r="Z63" s="19"/>
      <c r="AA63" s="19"/>
      <c r="AB63" s="19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</row>
    <row r="64" spans="2:58" s="25" customFormat="1" ht="12" customHeight="1" outlineLevel="2" x14ac:dyDescent="0.25">
      <c r="B64" s="22"/>
      <c r="C64" s="23" t="s">
        <v>46</v>
      </c>
      <c r="D64" s="24"/>
      <c r="E64" s="18">
        <f>SUM(E65:E85)</f>
        <v>117177582</v>
      </c>
      <c r="F64" s="18">
        <f>SUM(F65:F85)</f>
        <v>118199068.42000002</v>
      </c>
      <c r="G64" s="18">
        <f t="shared" ref="G64:L64" si="16">SUM(G65:G83)</f>
        <v>173677659</v>
      </c>
      <c r="H64" s="18">
        <f t="shared" si="16"/>
        <v>80122011</v>
      </c>
      <c r="I64" s="18">
        <f t="shared" si="16"/>
        <v>189408937.81999999</v>
      </c>
      <c r="J64" s="18">
        <f t="shared" si="16"/>
        <v>91556506.849999994</v>
      </c>
      <c r="K64" s="18">
        <f t="shared" si="16"/>
        <v>189273288.42353505</v>
      </c>
      <c r="L64" s="18">
        <f t="shared" si="16"/>
        <v>86801042.04068993</v>
      </c>
      <c r="M64" s="18">
        <f>SUM(M65:M85)</f>
        <v>214537959.23948827</v>
      </c>
      <c r="N64" s="18">
        <f>SUM(N65:N85)</f>
        <v>93616141.288039193</v>
      </c>
      <c r="O64" s="18">
        <f t="shared" ref="O64:V64" si="17">SUM(O65:O89)</f>
        <v>229622464.46084359</v>
      </c>
      <c r="P64" s="18">
        <f t="shared" si="17"/>
        <v>82715614.444843546</v>
      </c>
      <c r="Q64" s="18">
        <f t="shared" si="17"/>
        <v>237693591.27524999</v>
      </c>
      <c r="R64" s="18">
        <f t="shared" si="17"/>
        <v>81131765.899000019</v>
      </c>
      <c r="S64" s="18">
        <f t="shared" si="17"/>
        <v>264542454.51999998</v>
      </c>
      <c r="T64" s="18">
        <f t="shared" si="17"/>
        <v>83674997.389999986</v>
      </c>
      <c r="U64" s="18">
        <f t="shared" si="17"/>
        <v>368888198.97999996</v>
      </c>
      <c r="V64" s="18">
        <f t="shared" si="17"/>
        <v>91812253.169999987</v>
      </c>
      <c r="W64" s="18">
        <f t="shared" ref="W64:Z64" si="18">SUM(W65:W89)</f>
        <v>557436294.87</v>
      </c>
      <c r="X64" s="18">
        <f t="shared" si="18"/>
        <v>126223598.67</v>
      </c>
      <c r="Y64" s="19">
        <f t="shared" si="18"/>
        <v>625975400.07000005</v>
      </c>
      <c r="Z64" s="19">
        <f t="shared" si="18"/>
        <v>130202566.05000001</v>
      </c>
      <c r="AA64" s="19">
        <f>SUM(AA65:AA89)</f>
        <v>687484940.4799999</v>
      </c>
      <c r="AB64" s="19">
        <f>SUM(AB65:AB89)</f>
        <v>200213885.80999997</v>
      </c>
      <c r="AC64" s="50">
        <v>787940432.31000006</v>
      </c>
      <c r="AD64" s="50">
        <v>275273821.37</v>
      </c>
      <c r="AE64" s="50">
        <v>1141894519.8900001</v>
      </c>
      <c r="AF64" s="50">
        <v>851263227.88</v>
      </c>
      <c r="AG64" s="50">
        <v>2636182326.3500004</v>
      </c>
      <c r="AH64" s="50">
        <v>1636818959.96</v>
      </c>
      <c r="AI64" s="50">
        <v>165368686.65529999</v>
      </c>
      <c r="AJ64" s="50">
        <v>423159680.57873029</v>
      </c>
      <c r="AK64" s="50">
        <v>57096155.156816848</v>
      </c>
      <c r="AL64" s="50">
        <v>56363585.266188182</v>
      </c>
      <c r="AM64" s="50">
        <v>2408462809.3220711</v>
      </c>
      <c r="AN64" s="50">
        <v>22020313.755999997</v>
      </c>
      <c r="AO64" s="50">
        <v>197883404.44780001</v>
      </c>
      <c r="AP64" s="50">
        <v>495811186.51808709</v>
      </c>
      <c r="AQ64" s="50">
        <v>63488912.809303097</v>
      </c>
      <c r="AR64" s="50">
        <v>8967829.9208000004</v>
      </c>
      <c r="AS64" s="50">
        <v>2833071279.98</v>
      </c>
      <c r="AT64" s="50">
        <v>6731693844.4200001</v>
      </c>
      <c r="AU64" s="50">
        <v>62533651.994399995</v>
      </c>
      <c r="AV64" s="50">
        <v>46124322.101269715</v>
      </c>
      <c r="AW64" s="50">
        <f>+AW68</f>
        <v>1533120.89</v>
      </c>
      <c r="AX64" s="50">
        <v>30731417.55381006</v>
      </c>
      <c r="AY64" s="50">
        <v>751710468.43822551</v>
      </c>
      <c r="AZ64" s="50">
        <v>22907282.2632</v>
      </c>
      <c r="BA64" s="50">
        <v>62203779.072599992</v>
      </c>
      <c r="BB64" s="50">
        <v>40048312.760952793</v>
      </c>
      <c r="BC64" s="50">
        <v>24962425.37069691</v>
      </c>
      <c r="BD64" s="50">
        <v>1762899.3728</v>
      </c>
      <c r="BE64" s="50">
        <v>670105184.61520004</v>
      </c>
      <c r="BF64" s="50">
        <v>1714622864.4499998</v>
      </c>
    </row>
    <row r="65" spans="2:58" s="25" customFormat="1" ht="12" customHeight="1" outlineLevel="2" x14ac:dyDescent="0.2">
      <c r="B65" s="22"/>
      <c r="C65" s="23"/>
      <c r="D65" s="26" t="s">
        <v>6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1">
        <v>0</v>
      </c>
      <c r="Z65" s="21">
        <v>0</v>
      </c>
      <c r="AA65" s="21">
        <v>0</v>
      </c>
      <c r="AB65" s="21">
        <v>0</v>
      </c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</row>
    <row r="66" spans="2:58" s="25" customFormat="1" ht="12" customHeight="1" outlineLevel="2" x14ac:dyDescent="0.2">
      <c r="B66" s="22"/>
      <c r="C66" s="23"/>
      <c r="D66" s="26" t="s">
        <v>15</v>
      </c>
      <c r="E66" s="27">
        <v>9043891</v>
      </c>
      <c r="F66" s="27">
        <v>7920527</v>
      </c>
      <c r="G66" s="27">
        <v>9016342</v>
      </c>
      <c r="H66" s="27">
        <v>1951496</v>
      </c>
      <c r="I66" s="27">
        <v>9170201</v>
      </c>
      <c r="J66" s="27">
        <v>1496521</v>
      </c>
      <c r="K66" s="27">
        <v>10477893.4166</v>
      </c>
      <c r="L66" s="27">
        <v>1412903.2179</v>
      </c>
      <c r="M66" s="27">
        <v>12223093.59365</v>
      </c>
      <c r="N66" s="27">
        <v>1185861.62843</v>
      </c>
      <c r="O66" s="27">
        <v>12821572.199999999</v>
      </c>
      <c r="P66" s="27">
        <v>795884.04980000004</v>
      </c>
      <c r="Q66" s="27">
        <v>6683185.2052499996</v>
      </c>
      <c r="R66" s="27">
        <v>161289.68900000001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1">
        <v>0</v>
      </c>
      <c r="Z66" s="21">
        <v>0</v>
      </c>
      <c r="AA66" s="21">
        <v>0</v>
      </c>
      <c r="AB66" s="21">
        <v>0</v>
      </c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</row>
    <row r="67" spans="2:58" s="25" customFormat="1" ht="12" customHeight="1" outlineLevel="2" x14ac:dyDescent="0.2">
      <c r="B67" s="22"/>
      <c r="C67" s="23"/>
      <c r="D67" s="26" t="s">
        <v>14</v>
      </c>
      <c r="E67" s="27">
        <v>0</v>
      </c>
      <c r="F67" s="27">
        <f>11227601+128803.46</f>
        <v>11356404.460000001</v>
      </c>
      <c r="G67" s="27">
        <v>10891913</v>
      </c>
      <c r="H67" s="27">
        <f>3372094+130627</f>
        <v>3502721</v>
      </c>
      <c r="I67" s="27">
        <v>11096124</v>
      </c>
      <c r="J67" s="27">
        <f>2568648+138799.06</f>
        <v>2707447.06</v>
      </c>
      <c r="K67" s="27">
        <v>11068777.572251117</v>
      </c>
      <c r="L67" s="27">
        <v>2158096.6792411795</v>
      </c>
      <c r="M67" s="27">
        <v>13031352.795838274</v>
      </c>
      <c r="N67" s="27">
        <v>1666498.4042092194</v>
      </c>
      <c r="O67" s="27">
        <v>17391791.734543562</v>
      </c>
      <c r="P67" s="27">
        <v>1300213.5488635267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1">
        <v>0</v>
      </c>
      <c r="Z67" s="21">
        <v>0</v>
      </c>
      <c r="AA67" s="21">
        <v>0</v>
      </c>
      <c r="AB67" s="21">
        <v>0</v>
      </c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</row>
    <row r="68" spans="2:58" s="25" customFormat="1" ht="12" customHeight="1" outlineLevel="2" x14ac:dyDescent="0.2">
      <c r="B68" s="22"/>
      <c r="C68" s="23"/>
      <c r="D68" s="26" t="s">
        <v>47</v>
      </c>
      <c r="E68" s="27">
        <v>0</v>
      </c>
      <c r="F68" s="27">
        <f>451859+278050.6</f>
        <v>729909.6</v>
      </c>
      <c r="G68" s="27">
        <v>0</v>
      </c>
      <c r="H68" s="27">
        <f>2504+1104585</f>
        <v>1107089</v>
      </c>
      <c r="I68" s="27">
        <v>0</v>
      </c>
      <c r="J68" s="27">
        <f>2759+2118443.97</f>
        <v>2121202.9700000002</v>
      </c>
      <c r="K68" s="27">
        <v>6791170.7699999996</v>
      </c>
      <c r="L68" s="27">
        <v>3409016.9441383267</v>
      </c>
      <c r="M68" s="27">
        <v>6864876.8900000006</v>
      </c>
      <c r="N68" s="27">
        <v>4308121.74</v>
      </c>
      <c r="O68" s="27">
        <v>7127009.8100000005</v>
      </c>
      <c r="P68" s="27">
        <v>3578752.32</v>
      </c>
      <c r="Q68" s="27">
        <v>7524835.6699999999</v>
      </c>
      <c r="R68" s="27">
        <v>3795603.64</v>
      </c>
      <c r="S68" s="27">
        <v>8289940.3899999997</v>
      </c>
      <c r="T68" s="27">
        <v>3706698.8</v>
      </c>
      <c r="U68" s="27">
        <v>9740139.129999999</v>
      </c>
      <c r="V68" s="27">
        <v>3652982.05</v>
      </c>
      <c r="W68" s="27">
        <v>14867051.859999999</v>
      </c>
      <c r="X68" s="27">
        <v>5044816.05</v>
      </c>
      <c r="Y68" s="21">
        <v>16496930.73</v>
      </c>
      <c r="Z68" s="21">
        <v>4703853.59</v>
      </c>
      <c r="AA68" s="21">
        <v>27228564.469999999</v>
      </c>
      <c r="AB68" s="21">
        <v>6713957.5</v>
      </c>
      <c r="AC68" s="51">
        <v>29903939.850000001</v>
      </c>
      <c r="AD68" s="51">
        <v>5354361.3</v>
      </c>
      <c r="AE68" s="51">
        <v>52594410.240000002</v>
      </c>
      <c r="AF68" s="51">
        <v>6186634.9000000004</v>
      </c>
      <c r="AG68" s="51">
        <v>88616102.670000002</v>
      </c>
      <c r="AH68" s="51">
        <v>5784310.3300000001</v>
      </c>
      <c r="AI68" s="51">
        <v>0</v>
      </c>
      <c r="AJ68" s="51">
        <v>0</v>
      </c>
      <c r="AK68" s="51">
        <v>57096155.156816848</v>
      </c>
      <c r="AL68" s="51">
        <v>0</v>
      </c>
      <c r="AM68" s="51">
        <v>0</v>
      </c>
      <c r="AN68" s="51">
        <v>0</v>
      </c>
      <c r="AO68" s="51">
        <v>0</v>
      </c>
      <c r="AP68" s="51">
        <v>0</v>
      </c>
      <c r="AQ68" s="51">
        <v>0</v>
      </c>
      <c r="AR68" s="51">
        <v>0</v>
      </c>
      <c r="AS68" s="51">
        <v>0</v>
      </c>
      <c r="AT68" s="51">
        <v>57096155.159999996</v>
      </c>
      <c r="AU68" s="51">
        <v>0</v>
      </c>
      <c r="AV68" s="51">
        <v>0</v>
      </c>
      <c r="AW68" s="51">
        <v>1533120.89</v>
      </c>
      <c r="AX68" s="51">
        <v>0</v>
      </c>
      <c r="AY68" s="51">
        <v>0</v>
      </c>
      <c r="AZ68" s="51">
        <v>0</v>
      </c>
      <c r="BA68" s="51">
        <v>0</v>
      </c>
      <c r="BB68" s="51">
        <v>0</v>
      </c>
      <c r="BC68" s="51">
        <v>0</v>
      </c>
      <c r="BD68" s="51">
        <v>0</v>
      </c>
      <c r="BE68" s="51">
        <v>0</v>
      </c>
      <c r="BF68" s="51">
        <v>1533120.89</v>
      </c>
    </row>
    <row r="69" spans="2:58" s="25" customFormat="1" ht="12" customHeight="1" outlineLevel="2" x14ac:dyDescent="0.2">
      <c r="B69" s="22"/>
      <c r="C69" s="23"/>
      <c r="D69" s="26" t="s">
        <v>48</v>
      </c>
      <c r="E69" s="27">
        <v>0</v>
      </c>
      <c r="F69" s="27">
        <f>16255475.49+12100276</f>
        <v>28355751.490000002</v>
      </c>
      <c r="G69" s="27">
        <v>36379973</v>
      </c>
      <c r="H69" s="27">
        <f>4207457+23859752</f>
        <v>28067209</v>
      </c>
      <c r="I69" s="27">
        <v>41889434</v>
      </c>
      <c r="J69" s="27">
        <f>3013305+31147759.15</f>
        <v>34161064.149999999</v>
      </c>
      <c r="K69" s="27">
        <v>41695171.539999999</v>
      </c>
      <c r="L69" s="27">
        <v>32322063.07</v>
      </c>
      <c r="M69" s="27">
        <v>49151366.090000004</v>
      </c>
      <c r="N69" s="27">
        <v>31152750.249999996</v>
      </c>
      <c r="O69" s="27">
        <v>52270808.570000008</v>
      </c>
      <c r="P69" s="27">
        <v>33782826.18</v>
      </c>
      <c r="Q69" s="27">
        <v>54897876.450000003</v>
      </c>
      <c r="R69" s="27">
        <v>32171890.259999998</v>
      </c>
      <c r="S69" s="27">
        <v>59977473.979999997</v>
      </c>
      <c r="T69" s="27">
        <v>30916452.649999999</v>
      </c>
      <c r="U69" s="27">
        <v>70530963.140000001</v>
      </c>
      <c r="V69" s="27">
        <v>32989229.469999999</v>
      </c>
      <c r="W69" s="27">
        <v>108665806.53</v>
      </c>
      <c r="X69" s="27">
        <v>45745171.850000001</v>
      </c>
      <c r="Y69" s="21">
        <v>120121312.94</v>
      </c>
      <c r="Z69" s="21">
        <v>44060668.520000003</v>
      </c>
      <c r="AA69" s="21">
        <v>195011926.12</v>
      </c>
      <c r="AB69" s="21">
        <v>64690409.049999997</v>
      </c>
      <c r="AC69" s="51">
        <v>224165908.20999998</v>
      </c>
      <c r="AD69" s="51">
        <v>58932197.18</v>
      </c>
      <c r="AE69" s="51">
        <v>318196905.97000003</v>
      </c>
      <c r="AF69" s="51">
        <v>63808830.590000004</v>
      </c>
      <c r="AG69" s="51">
        <v>567032895.32999992</v>
      </c>
      <c r="AH69" s="51">
        <v>83539593.449999988</v>
      </c>
      <c r="AI69" s="51">
        <v>0</v>
      </c>
      <c r="AJ69" s="51">
        <v>417529034.01459181</v>
      </c>
      <c r="AK69" s="51">
        <v>0</v>
      </c>
      <c r="AL69" s="51">
        <v>0</v>
      </c>
      <c r="AM69" s="51">
        <v>0</v>
      </c>
      <c r="AN69" s="51">
        <v>0</v>
      </c>
      <c r="AO69" s="51">
        <v>0</v>
      </c>
      <c r="AP69" s="51">
        <v>489130236.20518708</v>
      </c>
      <c r="AQ69" s="51">
        <v>0</v>
      </c>
      <c r="AR69" s="51">
        <v>0</v>
      </c>
      <c r="AS69" s="51">
        <v>0</v>
      </c>
      <c r="AT69" s="51">
        <v>906659270.22000003</v>
      </c>
      <c r="AU69" s="51">
        <v>0</v>
      </c>
      <c r="AV69" s="51">
        <v>45359356.835408188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39330080.076252796</v>
      </c>
      <c r="BC69" s="51">
        <v>0</v>
      </c>
      <c r="BD69" s="51">
        <v>0</v>
      </c>
      <c r="BE69" s="51">
        <v>0</v>
      </c>
      <c r="BF69" s="51">
        <v>84689436.920000002</v>
      </c>
    </row>
    <row r="70" spans="2:58" s="25" customFormat="1" ht="12" customHeight="1" outlineLevel="2" x14ac:dyDescent="0.2">
      <c r="B70" s="22"/>
      <c r="C70" s="23"/>
      <c r="D70" s="26" t="s">
        <v>69</v>
      </c>
      <c r="E70" s="27">
        <v>0</v>
      </c>
      <c r="F70" s="27">
        <f>200447.39</f>
        <v>200447.39</v>
      </c>
      <c r="G70" s="27">
        <v>0</v>
      </c>
      <c r="H70" s="27">
        <v>0</v>
      </c>
      <c r="I70" s="27">
        <v>529653.93999999994</v>
      </c>
      <c r="J70" s="27">
        <v>775907.62</v>
      </c>
      <c r="K70" s="27">
        <v>1125367.96</v>
      </c>
      <c r="L70" s="27">
        <v>984560.64679999999</v>
      </c>
      <c r="M70" s="27">
        <v>1328715.21</v>
      </c>
      <c r="N70" s="27">
        <v>973917.15</v>
      </c>
      <c r="O70" s="27">
        <v>1385538.49</v>
      </c>
      <c r="P70" s="27">
        <v>1047219.33</v>
      </c>
      <c r="Q70" s="27">
        <v>1464806.58</v>
      </c>
      <c r="R70" s="27">
        <v>1012846.85</v>
      </c>
      <c r="S70" s="27">
        <v>1603604.39</v>
      </c>
      <c r="T70" s="27">
        <v>1017226.35</v>
      </c>
      <c r="U70" s="27">
        <v>968932.61</v>
      </c>
      <c r="V70" s="27">
        <v>483268.35</v>
      </c>
      <c r="W70" s="27">
        <v>1482350</v>
      </c>
      <c r="X70" s="27">
        <v>675153.79</v>
      </c>
      <c r="Y70" s="21"/>
      <c r="Z70" s="21"/>
      <c r="AA70" s="21"/>
      <c r="AB70" s="2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  <c r="AZ70" s="51"/>
      <c r="BA70" s="51"/>
      <c r="BB70" s="51"/>
      <c r="BC70" s="51"/>
      <c r="BD70" s="51"/>
      <c r="BE70" s="51"/>
      <c r="BF70" s="51"/>
    </row>
    <row r="71" spans="2:58" s="25" customFormat="1" ht="12" customHeight="1" outlineLevel="2" x14ac:dyDescent="0.2">
      <c r="B71" s="22"/>
      <c r="C71" s="23"/>
      <c r="D71" s="26" t="s">
        <v>105</v>
      </c>
      <c r="E71" s="27">
        <v>0</v>
      </c>
      <c r="F71" s="27">
        <v>0</v>
      </c>
      <c r="G71" s="27">
        <v>0</v>
      </c>
      <c r="H71" s="27">
        <v>436861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963977.84</v>
      </c>
      <c r="V71" s="27">
        <v>593240.55000000005</v>
      </c>
      <c r="W71" s="27">
        <v>1424597.79</v>
      </c>
      <c r="X71" s="27">
        <v>854607.3</v>
      </c>
      <c r="Y71" s="21">
        <v>3224273.19</v>
      </c>
      <c r="Z71" s="21">
        <v>1524412.88</v>
      </c>
      <c r="AA71" s="21">
        <v>5273571.07</v>
      </c>
      <c r="AB71" s="21">
        <v>2326745.19</v>
      </c>
      <c r="AC71" s="51">
        <v>5819146.0800000001</v>
      </c>
      <c r="AD71" s="51">
        <v>2170056.8299999996</v>
      </c>
      <c r="AE71" s="51">
        <v>9450858.6000000015</v>
      </c>
      <c r="AF71" s="51">
        <v>2842216.76</v>
      </c>
      <c r="AG71" s="51">
        <v>17534791.960000001</v>
      </c>
      <c r="AH71" s="51">
        <v>4252219</v>
      </c>
      <c r="AI71" s="51">
        <v>0</v>
      </c>
      <c r="AJ71" s="51">
        <v>5630646.5641384702</v>
      </c>
      <c r="AK71" s="51">
        <v>0</v>
      </c>
      <c r="AL71" s="51">
        <v>0</v>
      </c>
      <c r="AM71" s="51">
        <v>5778686.6726633925</v>
      </c>
      <c r="AN71" s="51">
        <v>0</v>
      </c>
      <c r="AO71" s="51">
        <v>0</v>
      </c>
      <c r="AP71" s="51">
        <v>6680950.3129000003</v>
      </c>
      <c r="AQ71" s="51">
        <v>0</v>
      </c>
      <c r="AR71" s="51">
        <v>6741369.4207999995</v>
      </c>
      <c r="AS71" s="51">
        <v>0</v>
      </c>
      <c r="AT71" s="51">
        <v>24831652.960000001</v>
      </c>
      <c r="AU71" s="51">
        <v>0</v>
      </c>
      <c r="AV71" s="51">
        <v>764965.26586152951</v>
      </c>
      <c r="AW71" s="51">
        <v>0</v>
      </c>
      <c r="AX71" s="51">
        <v>0</v>
      </c>
      <c r="AY71" s="51">
        <v>1561622.8076333217</v>
      </c>
      <c r="AZ71" s="51">
        <v>0</v>
      </c>
      <c r="BA71" s="51">
        <v>0</v>
      </c>
      <c r="BB71" s="51">
        <v>718232.68469999998</v>
      </c>
      <c r="BC71" s="51">
        <v>0</v>
      </c>
      <c r="BD71" s="51">
        <v>1639598.7967999999</v>
      </c>
      <c r="BE71" s="51">
        <v>0</v>
      </c>
      <c r="BF71" s="51">
        <v>4684419.5600000005</v>
      </c>
    </row>
    <row r="72" spans="2:58" s="25" customFormat="1" ht="12" customHeight="1" outlineLevel="2" x14ac:dyDescent="0.2">
      <c r="B72" s="22"/>
      <c r="C72" s="23"/>
      <c r="D72" s="26" t="s">
        <v>70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2313951.2999999998</v>
      </c>
      <c r="K72" s="27">
        <v>0</v>
      </c>
      <c r="L72" s="27">
        <v>12898744.640000001</v>
      </c>
      <c r="M72" s="27">
        <v>0</v>
      </c>
      <c r="N72" s="27">
        <v>24244374.810000002</v>
      </c>
      <c r="O72" s="27">
        <v>0</v>
      </c>
      <c r="P72" s="27">
        <v>30320268.960000001</v>
      </c>
      <c r="Q72" s="27">
        <v>35414069</v>
      </c>
      <c r="R72" s="27">
        <v>33043079.780000001</v>
      </c>
      <c r="S72" s="27">
        <v>39495214.799999997</v>
      </c>
      <c r="T72" s="27">
        <v>34042969.239999995</v>
      </c>
      <c r="U72" s="27">
        <v>47881189.849999994</v>
      </c>
      <c r="V72" s="27">
        <v>40042500.900000006</v>
      </c>
      <c r="W72" s="27">
        <v>70772044.909999996</v>
      </c>
      <c r="X72" s="27">
        <v>56402839.150000006</v>
      </c>
      <c r="Y72" s="21">
        <v>79436193.180000007</v>
      </c>
      <c r="Z72" s="21">
        <v>59901361.439999998</v>
      </c>
      <c r="AA72" s="21">
        <v>124968108.97999999</v>
      </c>
      <c r="AB72" s="21">
        <v>98565001.270000011</v>
      </c>
      <c r="AC72" s="51">
        <v>141561093.81</v>
      </c>
      <c r="AD72" s="51">
        <v>100155615.88</v>
      </c>
      <c r="AE72" s="51">
        <v>249773351.59</v>
      </c>
      <c r="AF72" s="51">
        <v>171105627.84999999</v>
      </c>
      <c r="AG72" s="51">
        <v>448480539.75</v>
      </c>
      <c r="AH72" s="51">
        <v>290729315.35000002</v>
      </c>
      <c r="AI72" s="51">
        <v>0</v>
      </c>
      <c r="AJ72" s="51">
        <v>0</v>
      </c>
      <c r="AK72" s="51">
        <v>0</v>
      </c>
      <c r="AL72" s="51">
        <v>0</v>
      </c>
      <c r="AM72" s="51">
        <v>289178587.6494078</v>
      </c>
      <c r="AN72" s="51">
        <v>0</v>
      </c>
      <c r="AO72" s="51">
        <v>0</v>
      </c>
      <c r="AP72" s="51">
        <v>0</v>
      </c>
      <c r="AQ72" s="51">
        <v>0</v>
      </c>
      <c r="AR72" s="51">
        <v>0</v>
      </c>
      <c r="AS72" s="51">
        <v>341032569.98000002</v>
      </c>
      <c r="AT72" s="51">
        <v>630211157.63</v>
      </c>
      <c r="AU72" s="51">
        <v>0</v>
      </c>
      <c r="AV72" s="51">
        <v>0</v>
      </c>
      <c r="AW72" s="51">
        <v>0</v>
      </c>
      <c r="AX72" s="51">
        <v>0</v>
      </c>
      <c r="AY72" s="51">
        <v>169103624.83059216</v>
      </c>
      <c r="AZ72" s="51">
        <v>0</v>
      </c>
      <c r="BA72" s="51">
        <v>0</v>
      </c>
      <c r="BB72" s="51">
        <v>0</v>
      </c>
      <c r="BC72" s="51">
        <v>0</v>
      </c>
      <c r="BD72" s="51">
        <v>0</v>
      </c>
      <c r="BE72" s="51">
        <v>177507363.80020002</v>
      </c>
      <c r="BF72" s="51">
        <v>346610988.63999999</v>
      </c>
    </row>
    <row r="73" spans="2:58" s="25" customFormat="1" ht="12" customHeight="1" outlineLevel="2" x14ac:dyDescent="0.2">
      <c r="B73" s="22"/>
      <c r="C73" s="23"/>
      <c r="D73" s="26" t="s">
        <v>49</v>
      </c>
      <c r="E73" s="27">
        <v>0</v>
      </c>
      <c r="F73" s="27">
        <v>0</v>
      </c>
      <c r="G73" s="27">
        <v>869</v>
      </c>
      <c r="H73" s="27">
        <v>29939</v>
      </c>
      <c r="I73" s="27">
        <v>573486.49</v>
      </c>
      <c r="J73" s="27">
        <v>141500.65</v>
      </c>
      <c r="K73" s="27">
        <v>1137244.52</v>
      </c>
      <c r="L73" s="27">
        <v>310489.44</v>
      </c>
      <c r="M73" s="27">
        <v>2041335.52</v>
      </c>
      <c r="N73" s="27">
        <v>332992.28000000003</v>
      </c>
      <c r="O73" s="27">
        <v>1455967.43</v>
      </c>
      <c r="P73" s="27">
        <v>104300.43</v>
      </c>
      <c r="Q73" s="27">
        <v>1535832.17</v>
      </c>
      <c r="R73" s="27">
        <v>58946.58</v>
      </c>
      <c r="S73" s="27">
        <v>825146.36</v>
      </c>
      <c r="T73" s="27">
        <v>12631.29</v>
      </c>
      <c r="U73" s="27">
        <v>0</v>
      </c>
      <c r="V73" s="27">
        <v>0</v>
      </c>
      <c r="W73" s="27">
        <v>0</v>
      </c>
      <c r="X73" s="27">
        <v>750057.09</v>
      </c>
      <c r="Y73" s="21">
        <v>7374004.2599999998</v>
      </c>
      <c r="Z73" s="21">
        <v>671027.07999999996</v>
      </c>
      <c r="AA73" s="21">
        <v>11774599.58</v>
      </c>
      <c r="AB73" s="21">
        <v>1014795.54</v>
      </c>
      <c r="AC73" s="51">
        <v>20685669.789999999</v>
      </c>
      <c r="AD73" s="51">
        <v>1097997.19</v>
      </c>
      <c r="AE73" s="51">
        <v>27494876.210000001</v>
      </c>
      <c r="AF73" s="51">
        <v>487250.15</v>
      </c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  <c r="AZ73" s="51"/>
      <c r="BA73" s="51"/>
      <c r="BB73" s="51"/>
      <c r="BC73" s="51"/>
      <c r="BD73" s="51"/>
      <c r="BE73" s="51"/>
      <c r="BF73" s="51"/>
    </row>
    <row r="74" spans="2:58" s="25" customFormat="1" ht="12" customHeight="1" outlineLevel="2" x14ac:dyDescent="0.2">
      <c r="B74" s="22"/>
      <c r="C74" s="23"/>
      <c r="D74" s="26" t="s">
        <v>50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329197.89</v>
      </c>
      <c r="P74" s="27">
        <v>66946.84</v>
      </c>
      <c r="Q74" s="27">
        <v>2300144.37</v>
      </c>
      <c r="R74" s="27">
        <v>332231.15000000002</v>
      </c>
      <c r="S74" s="27">
        <v>1874196.61</v>
      </c>
      <c r="T74" s="27">
        <v>280402.21000000002</v>
      </c>
      <c r="U74" s="27">
        <v>6648549.0899999999</v>
      </c>
      <c r="V74" s="27">
        <v>949981.24</v>
      </c>
      <c r="W74" s="27">
        <v>6674770.3499999996</v>
      </c>
      <c r="X74" s="27">
        <v>0</v>
      </c>
      <c r="Y74" s="21"/>
      <c r="Z74" s="21"/>
      <c r="AA74" s="21"/>
      <c r="AB74" s="2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  <c r="BE74" s="51"/>
      <c r="BF74" s="51"/>
    </row>
    <row r="75" spans="2:58" s="25" customFormat="1" ht="12" customHeight="1" outlineLevel="2" x14ac:dyDescent="0.2">
      <c r="B75" s="22"/>
      <c r="C75" s="23"/>
      <c r="D75" s="26" t="s">
        <v>51</v>
      </c>
      <c r="E75" s="27">
        <v>16952258</v>
      </c>
      <c r="F75" s="27">
        <v>7580334</v>
      </c>
      <c r="G75" s="27">
        <v>7119591</v>
      </c>
      <c r="H75" s="27">
        <v>651538</v>
      </c>
      <c r="I75" s="27">
        <v>7915301</v>
      </c>
      <c r="J75" s="27">
        <v>376419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1">
        <v>0</v>
      </c>
      <c r="Z75" s="21">
        <v>0</v>
      </c>
      <c r="AA75" s="21">
        <v>0</v>
      </c>
      <c r="AB75" s="21">
        <v>0</v>
      </c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</row>
    <row r="76" spans="2:58" s="25" customFormat="1" ht="12" customHeight="1" outlineLevel="2" x14ac:dyDescent="0.2">
      <c r="B76" s="22"/>
      <c r="C76" s="23"/>
      <c r="D76" s="26" t="s">
        <v>13</v>
      </c>
      <c r="E76" s="27">
        <v>35634474</v>
      </c>
      <c r="F76" s="27">
        <f>17969.19+11972889</f>
        <v>11990858.189999999</v>
      </c>
      <c r="G76" s="27">
        <v>5067227</v>
      </c>
      <c r="H76" s="27">
        <f>1053484+13266</f>
        <v>1066750</v>
      </c>
      <c r="I76" s="27">
        <v>15403202</v>
      </c>
      <c r="J76" s="27">
        <f>2968596+48796.53</f>
        <v>3017392.53</v>
      </c>
      <c r="K76" s="27">
        <v>10618533.84577113</v>
      </c>
      <c r="L76" s="27">
        <v>1052044.8835927499</v>
      </c>
      <c r="M76" s="27">
        <v>6158155.5599999996</v>
      </c>
      <c r="N76" s="27">
        <v>325808.87</v>
      </c>
      <c r="O76" s="27">
        <v>11999193.7863</v>
      </c>
      <c r="P76" s="27">
        <v>173955.98618000001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1">
        <v>0</v>
      </c>
      <c r="Z76" s="21">
        <v>0</v>
      </c>
      <c r="AA76" s="21">
        <v>0</v>
      </c>
      <c r="AB76" s="21">
        <v>0</v>
      </c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  <c r="AZ76" s="51"/>
      <c r="BA76" s="51"/>
      <c r="BB76" s="51"/>
      <c r="BC76" s="51"/>
      <c r="BD76" s="51"/>
      <c r="BE76" s="51"/>
      <c r="BF76" s="51"/>
    </row>
    <row r="77" spans="2:58" s="25" customFormat="1" ht="12" customHeight="1" outlineLevel="2" x14ac:dyDescent="0.2">
      <c r="B77" s="22"/>
      <c r="C77" s="23"/>
      <c r="D77" s="26" t="s">
        <v>52</v>
      </c>
      <c r="E77" s="27">
        <v>9910455</v>
      </c>
      <c r="F77" s="27">
        <f>1442062+245992.48</f>
        <v>1688054.48</v>
      </c>
      <c r="G77" s="27">
        <v>8495017</v>
      </c>
      <c r="H77" s="27">
        <f>504777+1415953</f>
        <v>1920730</v>
      </c>
      <c r="I77" s="27">
        <f>355785+5841984.84</f>
        <v>6197769.8399999999</v>
      </c>
      <c r="J77" s="27">
        <f>10256+1209590.46</f>
        <v>1219846.46</v>
      </c>
      <c r="K77" s="27">
        <v>6955353.2300000004</v>
      </c>
      <c r="L77" s="27">
        <v>721048.16</v>
      </c>
      <c r="M77" s="27">
        <v>8095979.6600000001</v>
      </c>
      <c r="N77" s="27">
        <v>396207.01</v>
      </c>
      <c r="O77" s="27">
        <v>3595619.15</v>
      </c>
      <c r="P77" s="27">
        <v>19186.91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1">
        <v>0</v>
      </c>
      <c r="Z77" s="21">
        <v>0</v>
      </c>
      <c r="AA77" s="21">
        <v>0</v>
      </c>
      <c r="AB77" s="21">
        <v>0</v>
      </c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  <c r="AZ77" s="51"/>
      <c r="BA77" s="51"/>
      <c r="BB77" s="51"/>
      <c r="BC77" s="51"/>
      <c r="BD77" s="51"/>
      <c r="BE77" s="51"/>
      <c r="BF77" s="51"/>
    </row>
    <row r="78" spans="2:58" s="25" customFormat="1" ht="12" customHeight="1" outlineLevel="2" x14ac:dyDescent="0.2">
      <c r="B78" s="22"/>
      <c r="C78" s="23"/>
      <c r="D78" s="26" t="s">
        <v>53</v>
      </c>
      <c r="E78" s="27">
        <v>32434824</v>
      </c>
      <c r="F78" s="27">
        <f>4720303+2484170.05</f>
        <v>7204473.0499999998</v>
      </c>
      <c r="G78" s="27">
        <f>2165941+20795834</f>
        <v>22961775</v>
      </c>
      <c r="H78" s="27">
        <f>42300+5984123</f>
        <v>6026423</v>
      </c>
      <c r="I78" s="27">
        <v>21429351.379999999</v>
      </c>
      <c r="J78" s="27">
        <v>5703995.5599999996</v>
      </c>
      <c r="K78" s="27">
        <v>21275118.050000001</v>
      </c>
      <c r="L78" s="27">
        <v>3500388.41</v>
      </c>
      <c r="M78" s="27">
        <v>25346199.09</v>
      </c>
      <c r="N78" s="27">
        <v>1872984.21</v>
      </c>
      <c r="O78" s="27">
        <v>26418460.629999999</v>
      </c>
      <c r="P78" s="27">
        <v>328100.86</v>
      </c>
      <c r="Q78" s="27">
        <v>27902459.289999999</v>
      </c>
      <c r="R78" s="27">
        <v>148677.10999999999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1">
        <v>0</v>
      </c>
      <c r="Z78" s="21">
        <v>0</v>
      </c>
      <c r="AA78" s="21">
        <v>0</v>
      </c>
      <c r="AB78" s="21">
        <v>0</v>
      </c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  <c r="AZ78" s="51"/>
      <c r="BA78" s="51"/>
      <c r="BB78" s="51"/>
      <c r="BC78" s="51"/>
      <c r="BD78" s="51"/>
      <c r="BE78" s="51"/>
      <c r="BF78" s="51"/>
    </row>
    <row r="79" spans="2:58" s="25" customFormat="1" ht="12" customHeight="1" outlineLevel="2" x14ac:dyDescent="0.2">
      <c r="B79" s="22"/>
      <c r="C79" s="23"/>
      <c r="D79" s="26" t="s">
        <v>54</v>
      </c>
      <c r="E79" s="27">
        <v>5351485</v>
      </c>
      <c r="F79" s="27">
        <f>719731+616696.76</f>
        <v>1336427.76</v>
      </c>
      <c r="G79" s="27">
        <f>3381643+445164</f>
        <v>3826807</v>
      </c>
      <c r="H79" s="27">
        <f>104214+1126180</f>
        <v>1230394</v>
      </c>
      <c r="I79" s="27">
        <v>3882982.17</v>
      </c>
      <c r="J79" s="27">
        <v>1308415.99</v>
      </c>
      <c r="K79" s="27">
        <v>3858639.4045525203</v>
      </c>
      <c r="L79" s="27">
        <v>864328.35535597475</v>
      </c>
      <c r="M79" s="27">
        <v>4639254.09</v>
      </c>
      <c r="N79" s="27">
        <v>487199.05</v>
      </c>
      <c r="O79" s="27">
        <v>4869176</v>
      </c>
      <c r="P79" s="27">
        <v>120289.25</v>
      </c>
      <c r="Q79" s="27">
        <v>5123214.54</v>
      </c>
      <c r="R79" s="27">
        <v>84923.35</v>
      </c>
      <c r="S79" s="27">
        <v>5593841.1999999993</v>
      </c>
      <c r="T79" s="27">
        <v>54696.160000000003</v>
      </c>
      <c r="U79" s="27">
        <v>3138967.57</v>
      </c>
      <c r="V79" s="27">
        <v>14365.19</v>
      </c>
      <c r="W79" s="27">
        <v>0</v>
      </c>
      <c r="X79" s="27">
        <v>0</v>
      </c>
      <c r="Y79" s="21">
        <v>0</v>
      </c>
      <c r="Z79" s="21">
        <v>0</v>
      </c>
      <c r="AA79" s="21">
        <v>0</v>
      </c>
      <c r="AB79" s="21">
        <v>0</v>
      </c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  <c r="AZ79" s="51"/>
      <c r="BA79" s="51"/>
      <c r="BB79" s="51"/>
      <c r="BC79" s="51"/>
      <c r="BD79" s="51"/>
      <c r="BE79" s="51"/>
      <c r="BF79" s="51"/>
    </row>
    <row r="80" spans="2:58" s="25" customFormat="1" ht="12" customHeight="1" outlineLevel="2" x14ac:dyDescent="0.2">
      <c r="B80" s="22"/>
      <c r="C80" s="23"/>
      <c r="D80" s="26" t="s">
        <v>55</v>
      </c>
      <c r="E80" s="27">
        <v>0</v>
      </c>
      <c r="F80" s="27">
        <f>551901+36535409</f>
        <v>37087310</v>
      </c>
      <c r="G80" s="27">
        <v>69918145</v>
      </c>
      <c r="H80" s="27">
        <f>33846548+284313</f>
        <v>34130861</v>
      </c>
      <c r="I80" s="27">
        <v>71321432</v>
      </c>
      <c r="J80" s="27">
        <v>34900846</v>
      </c>
      <c r="K80" s="27">
        <v>74270018.114360303</v>
      </c>
      <c r="L80" s="27">
        <v>24149389.393661715</v>
      </c>
      <c r="M80" s="27">
        <v>85657630.74000001</v>
      </c>
      <c r="N80" s="27">
        <v>18791896.685399998</v>
      </c>
      <c r="O80" s="27">
        <v>89243290.299999997</v>
      </c>
      <c r="P80" s="27">
        <v>3775320.8</v>
      </c>
      <c r="Q80" s="27">
        <v>94847168</v>
      </c>
      <c r="R80" s="27">
        <v>3286909.39</v>
      </c>
      <c r="S80" s="27">
        <v>104127716.84</v>
      </c>
      <c r="T80" s="27">
        <v>3698097.48</v>
      </c>
      <c r="U80" s="27">
        <v>125452046.86</v>
      </c>
      <c r="V80" s="27">
        <v>2702361.93</v>
      </c>
      <c r="W80" s="27">
        <v>187947889.96000001</v>
      </c>
      <c r="X80" s="27">
        <v>1999314.25</v>
      </c>
      <c r="Y80" s="21">
        <v>209444141.31</v>
      </c>
      <c r="Z80" s="21">
        <v>1025660.99</v>
      </c>
      <c r="AA80" s="21"/>
      <c r="AB80" s="2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  <c r="AZ80" s="51"/>
      <c r="BA80" s="51"/>
      <c r="BB80" s="51"/>
      <c r="BC80" s="51"/>
      <c r="BD80" s="51"/>
      <c r="BE80" s="51"/>
      <c r="BF80" s="51"/>
    </row>
    <row r="81" spans="2:58" s="25" customFormat="1" ht="12" customHeight="1" outlineLevel="2" x14ac:dyDescent="0.2">
      <c r="B81" s="22"/>
      <c r="C81" s="23"/>
      <c r="D81" s="26" t="s">
        <v>71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418053.97</v>
      </c>
      <c r="K81" s="27">
        <v>0</v>
      </c>
      <c r="L81" s="27">
        <v>1207538.06</v>
      </c>
      <c r="M81" s="27">
        <v>0</v>
      </c>
      <c r="N81" s="27">
        <v>4160681.69</v>
      </c>
      <c r="O81" s="27">
        <v>0</v>
      </c>
      <c r="P81" s="27">
        <v>5060771.7300000004</v>
      </c>
      <c r="Q81" s="27">
        <v>0</v>
      </c>
      <c r="R81" s="27">
        <v>4867415.4000000004</v>
      </c>
      <c r="S81" s="27">
        <v>19232401.329999998</v>
      </c>
      <c r="T81" s="27">
        <v>5425656.8799999999</v>
      </c>
      <c r="U81" s="27">
        <v>47226877.490000002</v>
      </c>
      <c r="V81" s="27">
        <v>6093764.6699999999</v>
      </c>
      <c r="W81" s="27">
        <v>74972950.909999996</v>
      </c>
      <c r="X81" s="27">
        <v>7501119.25</v>
      </c>
      <c r="Y81" s="21">
        <v>84908958.049999997</v>
      </c>
      <c r="Z81" s="21">
        <v>6496112.7199999997</v>
      </c>
      <c r="AA81" s="21">
        <v>143578350.94</v>
      </c>
      <c r="AB81" s="21">
        <v>7423345.3699999992</v>
      </c>
      <c r="AC81" s="51">
        <v>159765034.94</v>
      </c>
      <c r="AD81" s="51">
        <v>4642699.8800000008</v>
      </c>
      <c r="AE81" s="51">
        <v>101619576.98</v>
      </c>
      <c r="AF81" s="51">
        <v>1090918.3399999999</v>
      </c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</row>
    <row r="82" spans="2:58" s="25" customFormat="1" ht="12" customHeight="1" outlineLevel="2" x14ac:dyDescent="0.2">
      <c r="B82" s="22"/>
      <c r="C82" s="23"/>
      <c r="D82" s="26" t="s">
        <v>56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46526.879999999997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/>
      <c r="Y82" s="21"/>
      <c r="Z82" s="21"/>
      <c r="AA82" s="21"/>
      <c r="AB82" s="2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  <c r="AZ82" s="51"/>
      <c r="BA82" s="51"/>
      <c r="BB82" s="51"/>
      <c r="BC82" s="51"/>
      <c r="BD82" s="51"/>
      <c r="BE82" s="51"/>
      <c r="BF82" s="51"/>
    </row>
    <row r="83" spans="2:58" s="25" customFormat="1" ht="12" customHeight="1" outlineLevel="2" x14ac:dyDescent="0.2">
      <c r="B83" s="22"/>
      <c r="C83" s="23"/>
      <c r="D83" s="26" t="s">
        <v>72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893942.59</v>
      </c>
      <c r="K83" s="27">
        <v>0</v>
      </c>
      <c r="L83" s="27">
        <v>1810430.14</v>
      </c>
      <c r="M83" s="27">
        <v>0</v>
      </c>
      <c r="N83" s="27">
        <v>3606758.11</v>
      </c>
      <c r="O83" s="27">
        <v>0</v>
      </c>
      <c r="P83" s="27">
        <v>2141997.38</v>
      </c>
      <c r="Q83" s="27">
        <v>0</v>
      </c>
      <c r="R83" s="27">
        <v>2058742.82</v>
      </c>
      <c r="S83" s="27">
        <v>23077848.100000001</v>
      </c>
      <c r="T83" s="27">
        <v>3242280.96</v>
      </c>
      <c r="U83" s="27">
        <v>55614606.269999996</v>
      </c>
      <c r="V83" s="27">
        <v>2754402.12</v>
      </c>
      <c r="W83" s="27">
        <v>83140704.99000001</v>
      </c>
      <c r="X83" s="27">
        <v>2854675.61</v>
      </c>
      <c r="Y83" s="21">
        <v>93347527.010000005</v>
      </c>
      <c r="Z83" s="21">
        <v>2777957.04</v>
      </c>
      <c r="AA83" s="21">
        <v>147875385.94999999</v>
      </c>
      <c r="AB83" s="21">
        <v>5626766.5700000003</v>
      </c>
      <c r="AC83" s="51">
        <v>167650876.22</v>
      </c>
      <c r="AD83" s="51">
        <v>7420047.6999999993</v>
      </c>
      <c r="AE83" s="51">
        <v>310707614.33999997</v>
      </c>
      <c r="AF83" s="51">
        <v>12571839.550000001</v>
      </c>
      <c r="AG83" s="51">
        <v>523696674.51999998</v>
      </c>
      <c r="AH83" s="51">
        <v>11375772.48</v>
      </c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  <c r="AZ83" s="51"/>
      <c r="BA83" s="51"/>
      <c r="BB83" s="51"/>
      <c r="BC83" s="51"/>
      <c r="BD83" s="51"/>
      <c r="BE83" s="51"/>
      <c r="BF83" s="51"/>
    </row>
    <row r="84" spans="2:58" s="14" customFormat="1" ht="12" customHeight="1" outlineLevel="1" x14ac:dyDescent="0.2">
      <c r="B84" s="22"/>
      <c r="C84" s="23"/>
      <c r="D84" s="26" t="s">
        <v>73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63562.52</v>
      </c>
      <c r="O84" s="27">
        <v>0</v>
      </c>
      <c r="P84" s="27">
        <v>99579.87</v>
      </c>
      <c r="Q84" s="27">
        <v>0</v>
      </c>
      <c r="R84" s="27">
        <v>49976.09</v>
      </c>
      <c r="S84" s="27">
        <v>0</v>
      </c>
      <c r="T84" s="27">
        <v>111822.35</v>
      </c>
      <c r="U84" s="27">
        <v>485061.61</v>
      </c>
      <c r="V84" s="27">
        <v>191794.71</v>
      </c>
      <c r="W84" s="27">
        <v>487310.22</v>
      </c>
      <c r="X84" s="27">
        <v>168043.84</v>
      </c>
      <c r="Y84" s="21">
        <v>538420.52</v>
      </c>
      <c r="Z84" s="21">
        <v>164359.35999999999</v>
      </c>
      <c r="AA84" s="21">
        <v>859637.48</v>
      </c>
      <c r="AB84" s="21">
        <v>229036.91</v>
      </c>
      <c r="AC84" s="51">
        <v>999415.92999999993</v>
      </c>
      <c r="AD84" s="51">
        <v>226194.78</v>
      </c>
      <c r="AE84" s="51">
        <v>1398392.25</v>
      </c>
      <c r="AF84" s="51">
        <v>258959.02</v>
      </c>
      <c r="AG84" s="51">
        <v>2406924.17</v>
      </c>
      <c r="AH84" s="51">
        <v>354547.39</v>
      </c>
      <c r="AI84" s="51">
        <v>1817575.6752999998</v>
      </c>
      <c r="AJ84" s="51">
        <v>0</v>
      </c>
      <c r="AK84" s="51">
        <v>0</v>
      </c>
      <c r="AL84" s="51">
        <v>0</v>
      </c>
      <c r="AM84" s="51">
        <v>0</v>
      </c>
      <c r="AN84" s="51">
        <v>0</v>
      </c>
      <c r="AO84" s="51">
        <v>2155626.8277999996</v>
      </c>
      <c r="AP84" s="51">
        <v>0</v>
      </c>
      <c r="AQ84" s="51">
        <v>0</v>
      </c>
      <c r="AR84" s="51">
        <v>0</v>
      </c>
      <c r="AS84" s="51">
        <v>0</v>
      </c>
      <c r="AT84" s="51">
        <v>3973202.51</v>
      </c>
      <c r="AU84" s="51">
        <v>216755.20440000002</v>
      </c>
      <c r="AV84" s="51">
        <v>0</v>
      </c>
      <c r="AW84" s="51">
        <v>0</v>
      </c>
      <c r="AX84" s="51">
        <v>0</v>
      </c>
      <c r="AY84" s="51">
        <v>0</v>
      </c>
      <c r="AZ84" s="51">
        <v>0</v>
      </c>
      <c r="BA84" s="51">
        <v>210712.3726</v>
      </c>
      <c r="BB84" s="51">
        <v>0</v>
      </c>
      <c r="BC84" s="51">
        <v>0</v>
      </c>
      <c r="BD84" s="51">
        <v>0</v>
      </c>
      <c r="BE84" s="51">
        <v>0</v>
      </c>
      <c r="BF84" s="51">
        <v>427467.57</v>
      </c>
    </row>
    <row r="85" spans="2:58" s="14" customFormat="1" ht="12" customHeight="1" outlineLevel="1" x14ac:dyDescent="0.25">
      <c r="B85" s="28"/>
      <c r="C85" s="16"/>
      <c r="D85" s="26" t="s">
        <v>57</v>
      </c>
      <c r="E85" s="27">
        <v>7850195</v>
      </c>
      <c r="F85" s="27">
        <v>2748571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1"/>
      <c r="Z85" s="21"/>
      <c r="AA85" s="21"/>
      <c r="AB85" s="2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  <c r="AZ85" s="51"/>
      <c r="BA85" s="51"/>
      <c r="BB85" s="51"/>
      <c r="BC85" s="51"/>
      <c r="BD85" s="51"/>
      <c r="BE85" s="51"/>
      <c r="BF85" s="51"/>
    </row>
    <row r="86" spans="2:58" s="14" customFormat="1" ht="12" customHeight="1" outlineLevel="1" x14ac:dyDescent="0.25">
      <c r="B86" s="28"/>
      <c r="C86" s="16"/>
      <c r="D86" s="26" t="s">
        <v>58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714838.47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1"/>
      <c r="Z86" s="21"/>
      <c r="AA86" s="21"/>
      <c r="AB86" s="2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1"/>
      <c r="AR86" s="51"/>
      <c r="AS86" s="51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1"/>
      <c r="BE86" s="51"/>
      <c r="BF86" s="51"/>
    </row>
    <row r="87" spans="2:58" s="14" customFormat="1" ht="12" customHeight="1" outlineLevel="1" x14ac:dyDescent="0.25">
      <c r="B87" s="28"/>
      <c r="C87" s="16"/>
      <c r="D87" s="26" t="s">
        <v>74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59233.79</v>
      </c>
      <c r="S87" s="27">
        <v>0</v>
      </c>
      <c r="T87" s="27">
        <v>1156196.43</v>
      </c>
      <c r="U87" s="27">
        <v>0</v>
      </c>
      <c r="V87" s="27">
        <v>1331720.82</v>
      </c>
      <c r="W87" s="27">
        <v>6528269.5</v>
      </c>
      <c r="X87" s="27">
        <v>4194468.08</v>
      </c>
      <c r="Y87" s="21">
        <v>10560719.23</v>
      </c>
      <c r="Z87" s="21">
        <v>7994246.8100000005</v>
      </c>
      <c r="AA87" s="21">
        <v>21149392.640000001</v>
      </c>
      <c r="AB87" s="21">
        <v>10233303.699999999</v>
      </c>
      <c r="AC87" s="51">
        <v>26770876.66</v>
      </c>
      <c r="AD87" s="51">
        <v>13998818.99</v>
      </c>
      <c r="AE87" s="51">
        <v>48940799.459999993</v>
      </c>
      <c r="AF87" s="51">
        <v>28567423.270000003</v>
      </c>
      <c r="AG87" s="51">
        <v>81809471.890000001</v>
      </c>
      <c r="AH87" s="51">
        <v>51362960.439999998</v>
      </c>
      <c r="AI87" s="51">
        <v>0</v>
      </c>
      <c r="AJ87" s="51">
        <v>0</v>
      </c>
      <c r="AK87" s="51">
        <v>0</v>
      </c>
      <c r="AL87" s="51">
        <v>54468961.216188185</v>
      </c>
      <c r="AM87" s="51">
        <v>0</v>
      </c>
      <c r="AN87" s="51">
        <v>0</v>
      </c>
      <c r="AO87" s="51">
        <v>0</v>
      </c>
      <c r="AP87" s="51">
        <v>0</v>
      </c>
      <c r="AQ87" s="51">
        <v>63488912.809303097</v>
      </c>
      <c r="AR87" s="51">
        <v>0</v>
      </c>
      <c r="AS87" s="51">
        <v>0</v>
      </c>
      <c r="AT87" s="51">
        <v>117957874.03</v>
      </c>
      <c r="AU87" s="51">
        <v>0</v>
      </c>
      <c r="AV87" s="51">
        <v>0</v>
      </c>
      <c r="AW87" s="51">
        <v>0</v>
      </c>
      <c r="AX87" s="51">
        <v>29329287.143811818</v>
      </c>
      <c r="AY87" s="51">
        <v>0</v>
      </c>
      <c r="AZ87" s="51">
        <v>0</v>
      </c>
      <c r="BA87" s="51">
        <v>0</v>
      </c>
      <c r="BB87" s="51">
        <v>0</v>
      </c>
      <c r="BC87" s="51">
        <v>24962425.37069691</v>
      </c>
      <c r="BD87" s="51">
        <v>0</v>
      </c>
      <c r="BE87" s="51">
        <v>0</v>
      </c>
      <c r="BF87" s="51">
        <v>54291712.510000005</v>
      </c>
    </row>
    <row r="88" spans="2:58" s="14" customFormat="1" ht="12" customHeight="1" outlineLevel="1" x14ac:dyDescent="0.25">
      <c r="B88" s="28"/>
      <c r="C88" s="16"/>
      <c r="D88" s="26" t="s">
        <v>84</v>
      </c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1"/>
      <c r="Z88" s="21">
        <v>831545.11</v>
      </c>
      <c r="AA88" s="21">
        <v>8927281.620000001</v>
      </c>
      <c r="AB88" s="21">
        <v>3305737.38</v>
      </c>
      <c r="AC88" s="51">
        <v>9680257.9900000002</v>
      </c>
      <c r="AD88" s="51">
        <v>5046780.92</v>
      </c>
      <c r="AE88" s="51">
        <v>20101204.5</v>
      </c>
      <c r="AF88" s="51">
        <v>12617582.390000001</v>
      </c>
      <c r="AG88" s="51">
        <v>33238569.109999999</v>
      </c>
      <c r="AH88" s="51">
        <v>23635888.619999997</v>
      </c>
      <c r="AI88" s="51">
        <v>0</v>
      </c>
      <c r="AJ88" s="51">
        <v>0</v>
      </c>
      <c r="AK88" s="51">
        <v>0</v>
      </c>
      <c r="AL88" s="51">
        <v>0</v>
      </c>
      <c r="AM88" s="51">
        <v>0</v>
      </c>
      <c r="AN88" s="51">
        <v>22020313.755999997</v>
      </c>
      <c r="AO88" s="51">
        <v>0</v>
      </c>
      <c r="AP88" s="51">
        <v>0</v>
      </c>
      <c r="AQ88" s="51">
        <v>0</v>
      </c>
      <c r="AR88" s="51">
        <v>0</v>
      </c>
      <c r="AS88" s="51">
        <v>0</v>
      </c>
      <c r="AT88" s="51">
        <v>22020313.760000002</v>
      </c>
      <c r="AU88" s="51">
        <v>0</v>
      </c>
      <c r="AV88" s="51">
        <v>0</v>
      </c>
      <c r="AW88" s="51">
        <v>0</v>
      </c>
      <c r="AX88" s="51">
        <v>0</v>
      </c>
      <c r="AY88" s="51">
        <v>0</v>
      </c>
      <c r="AZ88" s="51">
        <v>11832861.033200001</v>
      </c>
      <c r="BA88" s="51">
        <v>0</v>
      </c>
      <c r="BB88" s="51">
        <v>0</v>
      </c>
      <c r="BC88" s="51">
        <v>0</v>
      </c>
      <c r="BD88" s="51">
        <v>0</v>
      </c>
      <c r="BE88" s="51">
        <v>0</v>
      </c>
      <c r="BF88" s="51">
        <v>11832861.029999999</v>
      </c>
    </row>
    <row r="89" spans="2:58" s="14" customFormat="1" ht="12" customHeight="1" outlineLevel="1" x14ac:dyDescent="0.25">
      <c r="B89" s="28"/>
      <c r="C89" s="16"/>
      <c r="D89" s="26" t="s">
        <v>63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445070.52</v>
      </c>
      <c r="T89" s="27">
        <v>9866.59</v>
      </c>
      <c r="U89" s="27">
        <v>236887.52</v>
      </c>
      <c r="V89" s="27">
        <v>12641.17</v>
      </c>
      <c r="W89" s="27">
        <v>472547.85</v>
      </c>
      <c r="X89" s="27">
        <v>33332.410000000003</v>
      </c>
      <c r="Y89" s="21">
        <v>522919.65</v>
      </c>
      <c r="Z89" s="21">
        <v>51360.51</v>
      </c>
      <c r="AA89" s="21">
        <v>838121.63</v>
      </c>
      <c r="AB89" s="21">
        <v>84787.33</v>
      </c>
      <c r="AC89" s="51">
        <v>938212.83000000007</v>
      </c>
      <c r="AD89" s="51">
        <v>99061.51999999999</v>
      </c>
      <c r="AE89" s="51">
        <v>1616529.75</v>
      </c>
      <c r="AF89" s="51">
        <v>232698.27</v>
      </c>
      <c r="AG89" s="51">
        <v>3013256.95</v>
      </c>
      <c r="AH89" s="51">
        <v>347673.2</v>
      </c>
      <c r="AI89" s="51">
        <v>0</v>
      </c>
      <c r="AJ89" s="51">
        <v>0</v>
      </c>
      <c r="AK89" s="51">
        <v>0</v>
      </c>
      <c r="AL89" s="51">
        <v>1894624.0499999998</v>
      </c>
      <c r="AM89" s="51">
        <v>0</v>
      </c>
      <c r="AN89" s="51">
        <v>0</v>
      </c>
      <c r="AO89" s="51">
        <v>0</v>
      </c>
      <c r="AP89" s="51">
        <v>0</v>
      </c>
      <c r="AQ89" s="51">
        <v>0</v>
      </c>
      <c r="AR89" s="51">
        <v>2226460.5</v>
      </c>
      <c r="AS89" s="51">
        <v>0</v>
      </c>
      <c r="AT89" s="51">
        <v>4121084.55</v>
      </c>
      <c r="AU89" s="51">
        <v>0</v>
      </c>
      <c r="AV89" s="51">
        <v>0</v>
      </c>
      <c r="AW89" s="51">
        <v>0</v>
      </c>
      <c r="AX89" s="51">
        <v>163867.15999823998</v>
      </c>
      <c r="AY89" s="51">
        <v>0</v>
      </c>
      <c r="AZ89" s="51">
        <v>0</v>
      </c>
      <c r="BA89" s="51">
        <v>0</v>
      </c>
      <c r="BB89" s="51">
        <v>0</v>
      </c>
      <c r="BC89" s="51">
        <v>0</v>
      </c>
      <c r="BD89" s="51">
        <v>123300.576</v>
      </c>
      <c r="BE89" s="51">
        <v>0</v>
      </c>
      <c r="BF89" s="51">
        <v>287167.74</v>
      </c>
    </row>
    <row r="90" spans="2:58" s="14" customFormat="1" ht="12" customHeight="1" outlineLevel="1" x14ac:dyDescent="0.25">
      <c r="B90" s="28"/>
      <c r="C90" s="16"/>
      <c r="D90" s="26" t="s">
        <v>87</v>
      </c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1"/>
      <c r="Z90" s="21"/>
      <c r="AA90" s="21"/>
      <c r="AB90" s="21"/>
      <c r="AC90" s="51">
        <v>0</v>
      </c>
      <c r="AD90" s="51">
        <v>9529137.4800000004</v>
      </c>
      <c r="AE90" s="51">
        <v>0</v>
      </c>
      <c r="AF90" s="51">
        <v>33820041.299999997</v>
      </c>
      <c r="AG90" s="51">
        <v>0</v>
      </c>
      <c r="AH90" s="51">
        <v>88454962.939999998</v>
      </c>
      <c r="AI90" s="51">
        <v>163551110.97999999</v>
      </c>
      <c r="AJ90" s="51">
        <v>0</v>
      </c>
      <c r="AK90" s="51">
        <v>0</v>
      </c>
      <c r="AL90" s="51">
        <v>0</v>
      </c>
      <c r="AM90" s="51">
        <v>0</v>
      </c>
      <c r="AN90" s="51">
        <v>0</v>
      </c>
      <c r="AO90" s="51">
        <v>195727777.62</v>
      </c>
      <c r="AP90" s="51">
        <v>0</v>
      </c>
      <c r="AQ90" s="51">
        <v>0</v>
      </c>
      <c r="AR90" s="51">
        <v>0</v>
      </c>
      <c r="AS90" s="51">
        <v>0</v>
      </c>
      <c r="AT90" s="51">
        <v>359278888.60000002</v>
      </c>
      <c r="AU90" s="51">
        <v>60062248.759999998</v>
      </c>
      <c r="AV90" s="51">
        <v>0</v>
      </c>
      <c r="AW90" s="51">
        <v>0</v>
      </c>
      <c r="AX90" s="51">
        <v>0</v>
      </c>
      <c r="AY90" s="51">
        <v>0</v>
      </c>
      <c r="AZ90" s="51">
        <v>0</v>
      </c>
      <c r="BA90" s="51">
        <v>60205362.18</v>
      </c>
      <c r="BB90" s="51">
        <v>0</v>
      </c>
      <c r="BC90" s="51">
        <v>0</v>
      </c>
      <c r="BD90" s="51">
        <v>0</v>
      </c>
      <c r="BE90" s="51">
        <v>0</v>
      </c>
      <c r="BF90" s="51">
        <v>120267610.94</v>
      </c>
    </row>
    <row r="91" spans="2:58" s="14" customFormat="1" ht="12" customHeight="1" outlineLevel="1" x14ac:dyDescent="0.25">
      <c r="B91" s="28"/>
      <c r="C91" s="16"/>
      <c r="D91" s="26" t="s">
        <v>93</v>
      </c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1"/>
      <c r="Z91" s="21"/>
      <c r="AA91" s="21"/>
      <c r="AB91" s="21"/>
      <c r="AC91" s="51">
        <v>0</v>
      </c>
      <c r="AD91" s="51">
        <v>66600851.720000006</v>
      </c>
      <c r="AE91" s="51">
        <v>0</v>
      </c>
      <c r="AF91" s="51">
        <v>283895051.10000002</v>
      </c>
      <c r="AG91" s="51">
        <v>870353100</v>
      </c>
      <c r="AH91" s="51">
        <v>540797604.25</v>
      </c>
      <c r="AI91" s="51">
        <v>0</v>
      </c>
      <c r="AJ91" s="51">
        <v>0</v>
      </c>
      <c r="AK91" s="51">
        <v>0</v>
      </c>
      <c r="AL91" s="51">
        <v>0</v>
      </c>
      <c r="AM91" s="51">
        <v>986234940</v>
      </c>
      <c r="AN91" s="51">
        <v>0</v>
      </c>
      <c r="AO91" s="51">
        <v>0</v>
      </c>
      <c r="AP91" s="51">
        <v>0</v>
      </c>
      <c r="AQ91" s="51">
        <v>0</v>
      </c>
      <c r="AR91" s="51">
        <v>0</v>
      </c>
      <c r="AS91" s="51">
        <v>1162871640</v>
      </c>
      <c r="AT91" s="51">
        <v>2149106580</v>
      </c>
      <c r="AU91" s="51">
        <v>563899.98</v>
      </c>
      <c r="AV91" s="51">
        <v>0</v>
      </c>
      <c r="AW91" s="51">
        <v>0</v>
      </c>
      <c r="AX91" s="51">
        <v>609725.5</v>
      </c>
      <c r="AY91" s="51">
        <v>277162254.30358344</v>
      </c>
      <c r="AZ91" s="51">
        <v>0</v>
      </c>
      <c r="BA91" s="51">
        <v>671222.05</v>
      </c>
      <c r="BB91" s="51">
        <v>0</v>
      </c>
      <c r="BC91" s="51">
        <v>0</v>
      </c>
      <c r="BD91" s="51">
        <v>0</v>
      </c>
      <c r="BE91" s="51">
        <v>236639092.98499998</v>
      </c>
      <c r="BF91" s="51">
        <v>515646194.81999993</v>
      </c>
    </row>
    <row r="92" spans="2:58" s="14" customFormat="1" ht="12" customHeight="1" outlineLevel="1" x14ac:dyDescent="0.25">
      <c r="B92" s="28"/>
      <c r="C92" s="16"/>
      <c r="D92" s="26" t="s">
        <v>95</v>
      </c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1"/>
      <c r="Z92" s="21"/>
      <c r="AA92" s="21"/>
      <c r="AB92" s="21"/>
      <c r="AC92" s="51"/>
      <c r="AD92" s="51"/>
      <c r="AE92" s="51">
        <v>0</v>
      </c>
      <c r="AF92" s="51">
        <v>233778154.39000002</v>
      </c>
      <c r="AG92" s="51">
        <v>0</v>
      </c>
      <c r="AH92" s="51">
        <v>536184112.50999999</v>
      </c>
      <c r="AI92" s="51">
        <v>0</v>
      </c>
      <c r="AJ92" s="51">
        <v>0</v>
      </c>
      <c r="AK92" s="51">
        <v>0</v>
      </c>
      <c r="AL92" s="51">
        <v>0</v>
      </c>
      <c r="AM92" s="51">
        <v>1127270595</v>
      </c>
      <c r="AN92" s="51">
        <v>0</v>
      </c>
      <c r="AO92" s="51">
        <v>0</v>
      </c>
      <c r="AP92" s="51">
        <v>0</v>
      </c>
      <c r="AQ92" s="51">
        <v>0</v>
      </c>
      <c r="AR92" s="51">
        <v>0</v>
      </c>
      <c r="AS92" s="51">
        <v>1329167070</v>
      </c>
      <c r="AT92" s="51">
        <v>2456437665</v>
      </c>
      <c r="AU92" s="51">
        <v>463667.72</v>
      </c>
      <c r="AV92" s="51">
        <v>0</v>
      </c>
      <c r="AW92" s="51">
        <v>0</v>
      </c>
      <c r="AX92" s="51">
        <v>628537.75</v>
      </c>
      <c r="AY92" s="51">
        <v>303882966.49641657</v>
      </c>
      <c r="AZ92" s="51">
        <v>0</v>
      </c>
      <c r="BA92" s="51">
        <v>532047.97</v>
      </c>
      <c r="BB92" s="51">
        <v>0</v>
      </c>
      <c r="BC92" s="51">
        <v>0</v>
      </c>
      <c r="BD92" s="51">
        <v>0</v>
      </c>
      <c r="BE92" s="51">
        <v>255958727.82999998</v>
      </c>
      <c r="BF92" s="51">
        <v>561465947.76999998</v>
      </c>
    </row>
    <row r="93" spans="2:58" s="14" customFormat="1" ht="12" customHeight="1" outlineLevel="1" x14ac:dyDescent="0.25">
      <c r="B93" s="28"/>
      <c r="C93" s="16"/>
      <c r="D93" s="26" t="s">
        <v>106</v>
      </c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1"/>
      <c r="Z93" s="21"/>
      <c r="AA93" s="21"/>
      <c r="AB93" s="21"/>
      <c r="AC93" s="51"/>
      <c r="AD93" s="51"/>
      <c r="AE93" s="51"/>
      <c r="AF93" s="51"/>
      <c r="AG93" s="51">
        <v>0</v>
      </c>
      <c r="AH93" s="51">
        <v>0</v>
      </c>
      <c r="AI93" s="51">
        <v>0</v>
      </c>
      <c r="AJ93" s="51">
        <v>0</v>
      </c>
      <c r="AK93" s="51">
        <v>0</v>
      </c>
      <c r="AL93" s="51">
        <v>0</v>
      </c>
      <c r="AM93" s="51">
        <v>0</v>
      </c>
      <c r="AN93" s="51">
        <v>0</v>
      </c>
      <c r="AO93" s="51">
        <v>0</v>
      </c>
      <c r="AP93" s="51">
        <v>0</v>
      </c>
      <c r="AQ93" s="51">
        <v>0</v>
      </c>
      <c r="AR93" s="51">
        <v>0</v>
      </c>
      <c r="AS93" s="51">
        <v>0</v>
      </c>
      <c r="AT93" s="51">
        <v>0</v>
      </c>
      <c r="AU93" s="51">
        <v>1227080.33</v>
      </c>
      <c r="AV93" s="51">
        <v>0</v>
      </c>
      <c r="AW93" s="51">
        <v>0</v>
      </c>
      <c r="AX93" s="51">
        <v>0</v>
      </c>
      <c r="AY93" s="51">
        <v>0</v>
      </c>
      <c r="AZ93" s="51">
        <v>11074421.23</v>
      </c>
      <c r="BA93" s="51">
        <v>584434.5</v>
      </c>
      <c r="BB93" s="51">
        <v>0</v>
      </c>
      <c r="BC93" s="51">
        <v>0</v>
      </c>
      <c r="BD93" s="51">
        <v>0</v>
      </c>
      <c r="BE93" s="51">
        <v>0</v>
      </c>
      <c r="BF93" s="51">
        <v>12885936.060000001</v>
      </c>
    </row>
    <row r="94" spans="2:58" s="25" customFormat="1" ht="12" customHeight="1" outlineLevel="1" x14ac:dyDescent="0.25">
      <c r="B94" s="28"/>
      <c r="C94" s="16"/>
      <c r="D94" s="26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38"/>
      <c r="V94" s="38"/>
      <c r="W94" s="38"/>
      <c r="X94" s="38"/>
      <c r="Y94" s="19"/>
      <c r="Z94" s="19"/>
      <c r="AA94" s="19"/>
      <c r="AB94" s="19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</row>
    <row r="95" spans="2:58" s="25" customFormat="1" ht="12" customHeight="1" outlineLevel="2" x14ac:dyDescent="0.25">
      <c r="B95" s="22"/>
      <c r="C95" s="23" t="s">
        <v>108</v>
      </c>
      <c r="D95" s="24"/>
      <c r="E95" s="18">
        <f t="shared" ref="E95:P95" si="19">SUM(E96:E101)</f>
        <v>1206611</v>
      </c>
      <c r="F95" s="18">
        <f t="shared" si="19"/>
        <v>16166662.76</v>
      </c>
      <c r="G95" s="18">
        <f t="shared" si="19"/>
        <v>0</v>
      </c>
      <c r="H95" s="18">
        <f t="shared" si="19"/>
        <v>11044264</v>
      </c>
      <c r="I95" s="18">
        <f t="shared" si="19"/>
        <v>13533832.33</v>
      </c>
      <c r="J95" s="18">
        <f t="shared" si="19"/>
        <v>9845986.3399999999</v>
      </c>
      <c r="K95" s="18">
        <f t="shared" si="19"/>
        <v>36253758.467</v>
      </c>
      <c r="L95" s="18">
        <f t="shared" si="19"/>
        <v>7255025.0667700004</v>
      </c>
      <c r="M95" s="18">
        <f t="shared" si="19"/>
        <v>41933144.046000004</v>
      </c>
      <c r="N95" s="18">
        <f t="shared" si="19"/>
        <v>4943562.7686299998</v>
      </c>
      <c r="O95" s="18">
        <f t="shared" si="19"/>
        <v>43115014.361000001</v>
      </c>
      <c r="P95" s="18">
        <f t="shared" si="19"/>
        <v>3855487.7249799999</v>
      </c>
      <c r="Q95" s="18">
        <f t="shared" ref="Q95:V95" si="20">SUM(Q96:Q101)</f>
        <v>46163003.741999999</v>
      </c>
      <c r="R95" s="18">
        <f t="shared" si="20"/>
        <v>3089204.4892120617</v>
      </c>
      <c r="S95" s="18">
        <f t="shared" si="20"/>
        <v>42743278.640000001</v>
      </c>
      <c r="T95" s="18">
        <f t="shared" si="20"/>
        <v>1895381.22</v>
      </c>
      <c r="U95" s="18">
        <f t="shared" si="20"/>
        <v>14041460.060000001</v>
      </c>
      <c r="V95" s="18">
        <f t="shared" si="20"/>
        <v>332571</v>
      </c>
      <c r="W95" s="18">
        <f t="shared" ref="W95:Z95" si="21">SUM(W96:W101)</f>
        <v>0</v>
      </c>
      <c r="X95" s="18">
        <f t="shared" si="21"/>
        <v>0</v>
      </c>
      <c r="Y95" s="19">
        <f t="shared" si="21"/>
        <v>0</v>
      </c>
      <c r="Z95" s="19">
        <f t="shared" si="21"/>
        <v>0</v>
      </c>
      <c r="AA95" s="19">
        <f>SUM(AA96:AA101)</f>
        <v>0</v>
      </c>
      <c r="AB95" s="19">
        <f>SUM(AB96:AB101)</f>
        <v>0</v>
      </c>
      <c r="AC95" s="50"/>
      <c r="AD95" s="50"/>
      <c r="AE95" s="50">
        <v>0</v>
      </c>
      <c r="AF95" s="50">
        <v>32318933.670000002</v>
      </c>
      <c r="AG95" s="50">
        <v>0</v>
      </c>
      <c r="AH95" s="50">
        <v>146611371.89999998</v>
      </c>
      <c r="AI95" s="50">
        <v>0</v>
      </c>
      <c r="AJ95" s="50">
        <v>0</v>
      </c>
      <c r="AK95" s="50">
        <v>0</v>
      </c>
      <c r="AL95" s="50">
        <v>0</v>
      </c>
      <c r="AM95" s="50">
        <v>32316927.5</v>
      </c>
      <c r="AN95" s="50">
        <v>0</v>
      </c>
      <c r="AO95" s="50">
        <v>0</v>
      </c>
      <c r="AP95" s="50">
        <v>0</v>
      </c>
      <c r="AQ95" s="50">
        <v>162759581.86000001</v>
      </c>
      <c r="AR95" s="50">
        <v>0</v>
      </c>
      <c r="AS95" s="50">
        <v>0</v>
      </c>
      <c r="AT95" s="50">
        <v>195076509.36000001</v>
      </c>
      <c r="AU95" s="50">
        <v>0</v>
      </c>
      <c r="AV95" s="50">
        <v>0</v>
      </c>
      <c r="AW95" s="50">
        <v>0</v>
      </c>
      <c r="AX95" s="50">
        <v>0</v>
      </c>
      <c r="AY95" s="50">
        <v>35630254.879038997</v>
      </c>
      <c r="AZ95" s="50">
        <v>0</v>
      </c>
      <c r="BA95" s="50">
        <v>0</v>
      </c>
      <c r="BB95" s="50">
        <v>0</v>
      </c>
      <c r="BC95" s="50">
        <v>44244424.048980005</v>
      </c>
      <c r="BD95" s="50">
        <v>0</v>
      </c>
      <c r="BE95" s="50">
        <v>0</v>
      </c>
      <c r="BF95" s="50">
        <v>79874678.919999987</v>
      </c>
    </row>
    <row r="96" spans="2:58" s="25" customFormat="1" ht="12" customHeight="1" outlineLevel="2" x14ac:dyDescent="0.2">
      <c r="B96" s="22"/>
      <c r="C96" s="23"/>
      <c r="D96" s="26" t="s">
        <v>8</v>
      </c>
      <c r="E96" s="27">
        <v>0</v>
      </c>
      <c r="F96" s="27">
        <v>0</v>
      </c>
      <c r="G96" s="27">
        <v>0</v>
      </c>
      <c r="H96" s="27">
        <v>0</v>
      </c>
      <c r="I96" s="27">
        <v>0</v>
      </c>
      <c r="J96" s="27">
        <v>0</v>
      </c>
      <c r="K96" s="27">
        <v>0</v>
      </c>
      <c r="L96" s="27">
        <v>0</v>
      </c>
      <c r="M96" s="27">
        <v>0</v>
      </c>
      <c r="N96" s="27">
        <v>0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0</v>
      </c>
      <c r="U96" s="27">
        <v>0</v>
      </c>
      <c r="V96" s="27">
        <v>0</v>
      </c>
      <c r="W96" s="27">
        <v>0</v>
      </c>
      <c r="X96" s="27">
        <v>0</v>
      </c>
      <c r="Y96" s="21">
        <v>0</v>
      </c>
      <c r="Z96" s="21">
        <v>0</v>
      </c>
      <c r="AA96" s="21">
        <v>0</v>
      </c>
      <c r="AB96" s="21">
        <v>0</v>
      </c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1"/>
      <c r="AR96" s="51"/>
      <c r="AS96" s="51"/>
      <c r="AT96" s="51"/>
      <c r="AU96" s="51"/>
      <c r="AV96" s="51"/>
      <c r="AW96" s="51"/>
      <c r="AX96" s="51"/>
      <c r="AY96" s="51"/>
      <c r="AZ96" s="51"/>
      <c r="BA96" s="51"/>
      <c r="BB96" s="51"/>
      <c r="BC96" s="51"/>
      <c r="BD96" s="51"/>
      <c r="BE96" s="51"/>
      <c r="BF96" s="51"/>
    </row>
    <row r="97" spans="2:58" s="25" customFormat="1" ht="12" customHeight="1" outlineLevel="2" x14ac:dyDescent="0.2">
      <c r="B97" s="22"/>
      <c r="C97" s="23"/>
      <c r="D97" s="26" t="s">
        <v>9</v>
      </c>
      <c r="E97" s="27">
        <v>0</v>
      </c>
      <c r="F97" s="27">
        <v>0</v>
      </c>
      <c r="G97" s="27">
        <v>0</v>
      </c>
      <c r="H97" s="27">
        <v>0</v>
      </c>
      <c r="I97" s="27">
        <v>0</v>
      </c>
      <c r="J97" s="27">
        <v>0</v>
      </c>
      <c r="K97" s="27">
        <v>0</v>
      </c>
      <c r="L97" s="27">
        <v>0</v>
      </c>
      <c r="M97" s="27">
        <v>0</v>
      </c>
      <c r="N97" s="27">
        <v>0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0</v>
      </c>
      <c r="U97" s="27">
        <v>0</v>
      </c>
      <c r="V97" s="27">
        <v>0</v>
      </c>
      <c r="W97" s="27">
        <v>0</v>
      </c>
      <c r="X97" s="27">
        <v>0</v>
      </c>
      <c r="Y97" s="21">
        <v>0</v>
      </c>
      <c r="Z97" s="21">
        <v>0</v>
      </c>
      <c r="AA97" s="21">
        <v>0</v>
      </c>
      <c r="AB97" s="21">
        <v>0</v>
      </c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1"/>
      <c r="AR97" s="51"/>
      <c r="AS97" s="51"/>
      <c r="AT97" s="51"/>
      <c r="AU97" s="51"/>
      <c r="AV97" s="51"/>
      <c r="AW97" s="51"/>
      <c r="AX97" s="51"/>
      <c r="AY97" s="51"/>
      <c r="AZ97" s="51"/>
      <c r="BA97" s="51"/>
      <c r="BB97" s="51"/>
      <c r="BC97" s="51"/>
      <c r="BD97" s="51"/>
      <c r="BE97" s="51"/>
      <c r="BF97" s="51"/>
    </row>
    <row r="98" spans="2:58" s="25" customFormat="1" ht="12" customHeight="1" outlineLevel="2" x14ac:dyDescent="0.2">
      <c r="B98" s="22"/>
      <c r="C98" s="23"/>
      <c r="D98" s="26" t="s">
        <v>10</v>
      </c>
      <c r="E98" s="27">
        <v>0</v>
      </c>
      <c r="F98" s="27">
        <v>0</v>
      </c>
      <c r="G98" s="27">
        <v>0</v>
      </c>
      <c r="H98" s="27">
        <v>0</v>
      </c>
      <c r="I98" s="27">
        <v>0</v>
      </c>
      <c r="J98" s="27">
        <v>0</v>
      </c>
      <c r="K98" s="27">
        <v>0</v>
      </c>
      <c r="L98" s="27">
        <v>0</v>
      </c>
      <c r="M98" s="27">
        <v>0</v>
      </c>
      <c r="N98" s="27">
        <v>0</v>
      </c>
      <c r="O98" s="27">
        <v>0</v>
      </c>
      <c r="P98" s="27">
        <v>0</v>
      </c>
      <c r="Q98" s="27">
        <v>0</v>
      </c>
      <c r="R98" s="27">
        <v>0</v>
      </c>
      <c r="S98" s="27">
        <v>0</v>
      </c>
      <c r="T98" s="27">
        <v>0</v>
      </c>
      <c r="U98" s="27">
        <v>0</v>
      </c>
      <c r="V98" s="27">
        <v>0</v>
      </c>
      <c r="W98" s="27">
        <v>0</v>
      </c>
      <c r="X98" s="27">
        <v>0</v>
      </c>
      <c r="Y98" s="21">
        <v>0</v>
      </c>
      <c r="Z98" s="21">
        <v>0</v>
      </c>
      <c r="AA98" s="21">
        <v>0</v>
      </c>
      <c r="AB98" s="21">
        <v>0</v>
      </c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1"/>
      <c r="AR98" s="51"/>
      <c r="AS98" s="51"/>
      <c r="AT98" s="51"/>
      <c r="AU98" s="51"/>
      <c r="AV98" s="51"/>
      <c r="AW98" s="51"/>
      <c r="AX98" s="51"/>
      <c r="AY98" s="51"/>
      <c r="AZ98" s="51"/>
      <c r="BA98" s="51"/>
      <c r="BB98" s="51"/>
      <c r="BC98" s="51"/>
      <c r="BD98" s="51"/>
      <c r="BE98" s="51"/>
      <c r="BF98" s="51"/>
    </row>
    <row r="99" spans="2:58" s="25" customFormat="1" ht="12" customHeight="1" outlineLevel="2" x14ac:dyDescent="0.2">
      <c r="B99" s="22"/>
      <c r="C99" s="23"/>
      <c r="D99" s="26" t="s">
        <v>11</v>
      </c>
      <c r="E99" s="27">
        <v>0</v>
      </c>
      <c r="F99" s="27">
        <v>0</v>
      </c>
      <c r="G99" s="27">
        <v>0</v>
      </c>
      <c r="H99" s="27">
        <v>0</v>
      </c>
      <c r="I99" s="27">
        <v>0</v>
      </c>
      <c r="J99" s="27">
        <v>0</v>
      </c>
      <c r="K99" s="27">
        <v>0</v>
      </c>
      <c r="L99" s="27">
        <v>0</v>
      </c>
      <c r="M99" s="27">
        <v>0</v>
      </c>
      <c r="N99" s="27">
        <v>0</v>
      </c>
      <c r="O99" s="27">
        <v>0</v>
      </c>
      <c r="P99" s="27">
        <v>0</v>
      </c>
      <c r="Q99" s="27">
        <v>0</v>
      </c>
      <c r="R99" s="27">
        <v>0</v>
      </c>
      <c r="S99" s="27">
        <v>0</v>
      </c>
      <c r="T99" s="27">
        <v>0</v>
      </c>
      <c r="U99" s="27">
        <v>0</v>
      </c>
      <c r="V99" s="27">
        <v>0</v>
      </c>
      <c r="W99" s="27"/>
      <c r="X99" s="27"/>
      <c r="Y99" s="21"/>
      <c r="Z99" s="21"/>
      <c r="AA99" s="21"/>
      <c r="AB99" s="2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</row>
    <row r="100" spans="2:58" s="25" customFormat="1" ht="12" customHeight="1" outlineLevel="2" x14ac:dyDescent="0.2">
      <c r="B100" s="22"/>
      <c r="C100" s="23"/>
      <c r="D100" s="26" t="s">
        <v>16</v>
      </c>
      <c r="E100" s="27">
        <v>0</v>
      </c>
      <c r="F100" s="27">
        <v>4147610.76</v>
      </c>
      <c r="G100" s="27">
        <v>0</v>
      </c>
      <c r="H100" s="27">
        <v>4597080</v>
      </c>
      <c r="I100" s="27">
        <v>9355983.3300000001</v>
      </c>
      <c r="J100" s="27">
        <v>5124688.34</v>
      </c>
      <c r="K100" s="27">
        <v>19413142.469999999</v>
      </c>
      <c r="L100" s="27">
        <v>4868416.92</v>
      </c>
      <c r="M100" s="27">
        <v>22069728.990000002</v>
      </c>
      <c r="N100" s="27">
        <v>4451082.5599999996</v>
      </c>
      <c r="O100" s="27">
        <v>22343965.73</v>
      </c>
      <c r="P100" s="27">
        <v>3443023.33</v>
      </c>
      <c r="Q100" s="27">
        <v>24188393.07</v>
      </c>
      <c r="R100" s="27">
        <v>2581127.44</v>
      </c>
      <c r="S100" s="27">
        <v>24866249.719999999</v>
      </c>
      <c r="T100" s="27">
        <v>1472108.67</v>
      </c>
      <c r="U100" s="27">
        <v>14041460.060000001</v>
      </c>
      <c r="V100" s="27">
        <v>332571</v>
      </c>
      <c r="W100" s="27">
        <v>0</v>
      </c>
      <c r="X100" s="27"/>
      <c r="Y100" s="21">
        <v>0</v>
      </c>
      <c r="Z100" s="21"/>
      <c r="AA100" s="21">
        <v>0</v>
      </c>
      <c r="AB100" s="2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1"/>
      <c r="AR100" s="51"/>
      <c r="AS100" s="51"/>
      <c r="AT100" s="51"/>
      <c r="AU100" s="51"/>
      <c r="AV100" s="51"/>
      <c r="AW100" s="51"/>
      <c r="AX100" s="51"/>
      <c r="AY100" s="51"/>
      <c r="AZ100" s="51"/>
      <c r="BA100" s="51"/>
      <c r="BB100" s="51"/>
      <c r="BC100" s="51"/>
      <c r="BD100" s="51"/>
      <c r="BE100" s="51"/>
      <c r="BF100" s="51"/>
    </row>
    <row r="101" spans="2:58" s="25" customFormat="1" ht="12" customHeight="1" outlineLevel="2" x14ac:dyDescent="0.2">
      <c r="B101" s="22"/>
      <c r="C101" s="23"/>
      <c r="D101" s="26" t="s">
        <v>12</v>
      </c>
      <c r="E101" s="27">
        <v>1206611</v>
      </c>
      <c r="F101" s="27">
        <f>4490435+7528617</f>
        <v>12019052</v>
      </c>
      <c r="G101" s="27">
        <v>0</v>
      </c>
      <c r="H101" s="27">
        <f>6247298+199886</f>
        <v>6447184</v>
      </c>
      <c r="I101" s="27">
        <v>4177849</v>
      </c>
      <c r="J101" s="27">
        <f>4502509+218789</f>
        <v>4721298</v>
      </c>
      <c r="K101" s="27">
        <v>16840615.997000001</v>
      </c>
      <c r="L101" s="27">
        <v>2386608.14677</v>
      </c>
      <c r="M101" s="27">
        <v>19863415.055999998</v>
      </c>
      <c r="N101" s="27">
        <v>492480.20863000007</v>
      </c>
      <c r="O101" s="27">
        <v>20771048.630999997</v>
      </c>
      <c r="P101" s="27">
        <v>412464.39498000004</v>
      </c>
      <c r="Q101" s="27">
        <v>21974610.671999998</v>
      </c>
      <c r="R101" s="27">
        <v>508077.04921206168</v>
      </c>
      <c r="S101" s="27">
        <v>17877028.920000002</v>
      </c>
      <c r="T101" s="27">
        <v>423272.55</v>
      </c>
      <c r="U101" s="27">
        <v>0</v>
      </c>
      <c r="V101" s="27">
        <v>0</v>
      </c>
      <c r="W101" s="27">
        <v>0</v>
      </c>
      <c r="X101" s="27">
        <v>0</v>
      </c>
      <c r="Y101" s="21">
        <v>0</v>
      </c>
      <c r="Z101" s="21">
        <v>0</v>
      </c>
      <c r="AA101" s="21">
        <v>0</v>
      </c>
      <c r="AB101" s="21">
        <v>0</v>
      </c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1"/>
      <c r="AR101" s="51"/>
      <c r="AS101" s="51"/>
      <c r="AT101" s="51"/>
      <c r="AU101" s="51"/>
      <c r="AV101" s="51"/>
      <c r="AW101" s="51"/>
      <c r="AX101" s="51"/>
      <c r="AY101" s="51"/>
      <c r="AZ101" s="51"/>
      <c r="BA101" s="51"/>
      <c r="BB101" s="51"/>
      <c r="BC101" s="51"/>
      <c r="BD101" s="51"/>
      <c r="BE101" s="51"/>
      <c r="BF101" s="51"/>
    </row>
    <row r="102" spans="2:58" s="25" customFormat="1" ht="12" customHeight="1" outlineLevel="2" x14ac:dyDescent="0.2">
      <c r="B102" s="22"/>
      <c r="C102" s="23"/>
      <c r="D102" s="54" t="s">
        <v>100</v>
      </c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7"/>
      <c r="T102" s="27"/>
      <c r="U102" s="27"/>
      <c r="V102" s="27"/>
      <c r="W102" s="27"/>
      <c r="X102" s="27"/>
      <c r="Y102" s="21"/>
      <c r="Z102" s="21"/>
      <c r="AA102" s="21"/>
      <c r="AB102" s="21"/>
      <c r="AC102" s="51"/>
      <c r="AD102" s="51"/>
      <c r="AE102" s="51">
        <v>0</v>
      </c>
      <c r="AF102" s="51">
        <v>32318933.670000002</v>
      </c>
      <c r="AG102" s="51">
        <v>0</v>
      </c>
      <c r="AH102" s="51">
        <v>7990197.1899999995</v>
      </c>
      <c r="AI102" s="51">
        <v>0</v>
      </c>
      <c r="AJ102" s="51">
        <v>0</v>
      </c>
      <c r="AK102" s="51">
        <v>0</v>
      </c>
      <c r="AL102" s="51">
        <v>0</v>
      </c>
      <c r="AM102" s="51">
        <v>32316927.5</v>
      </c>
      <c r="AN102" s="51">
        <v>0</v>
      </c>
      <c r="AO102" s="51">
        <v>0</v>
      </c>
      <c r="AP102" s="51">
        <v>0</v>
      </c>
      <c r="AQ102" s="51">
        <v>63320900.719999999</v>
      </c>
      <c r="AR102" s="51">
        <v>0</v>
      </c>
      <c r="AS102" s="51">
        <v>0</v>
      </c>
      <c r="AT102" s="51">
        <v>95637828.219999999</v>
      </c>
      <c r="AU102" s="51">
        <v>0</v>
      </c>
      <c r="AV102" s="51">
        <v>0</v>
      </c>
      <c r="AW102" s="51">
        <v>0</v>
      </c>
      <c r="AX102" s="51">
        <v>0</v>
      </c>
      <c r="AY102" s="51">
        <v>9370489.6985929981</v>
      </c>
      <c r="AZ102" s="51">
        <v>0</v>
      </c>
      <c r="BA102" s="51">
        <v>0</v>
      </c>
      <c r="BB102" s="51">
        <v>0</v>
      </c>
      <c r="BC102" s="51">
        <v>11778502.665420001</v>
      </c>
      <c r="BD102" s="51">
        <v>0</v>
      </c>
      <c r="BE102" s="51">
        <v>0</v>
      </c>
      <c r="BF102" s="51">
        <v>21148992.359999999</v>
      </c>
    </row>
    <row r="103" spans="2:58" s="25" customFormat="1" ht="12" customHeight="1" outlineLevel="2" x14ac:dyDescent="0.2">
      <c r="B103" s="22"/>
      <c r="C103" s="23"/>
      <c r="D103" s="54" t="s">
        <v>98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7"/>
      <c r="T103" s="27"/>
      <c r="U103" s="27"/>
      <c r="V103" s="27"/>
      <c r="W103" s="27"/>
      <c r="X103" s="27"/>
      <c r="Y103" s="21"/>
      <c r="Z103" s="21"/>
      <c r="AA103" s="21"/>
      <c r="AB103" s="21"/>
      <c r="AC103" s="51"/>
      <c r="AD103" s="51"/>
      <c r="AE103" s="51"/>
      <c r="AF103" s="51"/>
      <c r="AG103" s="51">
        <v>0</v>
      </c>
      <c r="AH103" s="51">
        <v>117249759.11</v>
      </c>
      <c r="AI103" s="51">
        <v>0</v>
      </c>
      <c r="AJ103" s="51">
        <v>0</v>
      </c>
      <c r="AK103" s="51">
        <v>0</v>
      </c>
      <c r="AL103" s="51">
        <v>0</v>
      </c>
      <c r="AM103" s="51">
        <v>0</v>
      </c>
      <c r="AN103" s="51">
        <v>0</v>
      </c>
      <c r="AO103" s="51">
        <v>0</v>
      </c>
      <c r="AP103" s="51">
        <v>0</v>
      </c>
      <c r="AQ103" s="51">
        <v>80747438.900000006</v>
      </c>
      <c r="AR103" s="51">
        <v>0</v>
      </c>
      <c r="AS103" s="51">
        <v>0</v>
      </c>
      <c r="AT103" s="51">
        <v>80747438.900000006</v>
      </c>
      <c r="AU103" s="51">
        <v>0</v>
      </c>
      <c r="AV103" s="51">
        <v>0</v>
      </c>
      <c r="AW103" s="51">
        <v>0</v>
      </c>
      <c r="AX103" s="51">
        <v>0</v>
      </c>
      <c r="AY103" s="51">
        <v>26259765.180445999</v>
      </c>
      <c r="AZ103" s="51">
        <v>0</v>
      </c>
      <c r="BA103" s="51">
        <v>0</v>
      </c>
      <c r="BB103" s="51">
        <v>0</v>
      </c>
      <c r="BC103" s="51">
        <v>9386864.4584999997</v>
      </c>
      <c r="BD103" s="51">
        <v>0</v>
      </c>
      <c r="BE103" s="51">
        <v>0</v>
      </c>
      <c r="BF103" s="51">
        <v>35646629.640000001</v>
      </c>
    </row>
    <row r="104" spans="2:58" s="25" customFormat="1" ht="12" customHeight="1" outlineLevel="2" x14ac:dyDescent="0.2">
      <c r="B104" s="22"/>
      <c r="C104" s="23"/>
      <c r="D104" s="54" t="s">
        <v>99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27"/>
      <c r="U104" s="27"/>
      <c r="V104" s="27"/>
      <c r="W104" s="27"/>
      <c r="X104" s="27"/>
      <c r="Y104" s="21"/>
      <c r="Z104" s="21"/>
      <c r="AA104" s="21"/>
      <c r="AB104" s="21"/>
      <c r="AC104" s="51"/>
      <c r="AD104" s="51"/>
      <c r="AE104" s="51"/>
      <c r="AF104" s="51"/>
      <c r="AG104" s="51">
        <v>0</v>
      </c>
      <c r="AH104" s="51">
        <v>21170030.120000001</v>
      </c>
      <c r="AI104" s="51">
        <v>0</v>
      </c>
      <c r="AJ104" s="51">
        <v>0</v>
      </c>
      <c r="AK104" s="51">
        <v>0</v>
      </c>
      <c r="AL104" s="51">
        <v>0</v>
      </c>
      <c r="AM104" s="51">
        <v>0</v>
      </c>
      <c r="AN104" s="51">
        <v>0</v>
      </c>
      <c r="AO104" s="51">
        <v>0</v>
      </c>
      <c r="AP104" s="51">
        <v>0</v>
      </c>
      <c r="AQ104" s="51">
        <v>18691242.239999998</v>
      </c>
      <c r="AR104" s="51">
        <v>0</v>
      </c>
      <c r="AS104" s="51">
        <v>0</v>
      </c>
      <c r="AT104" s="51">
        <v>18691242.239999998</v>
      </c>
      <c r="AU104" s="51">
        <v>0</v>
      </c>
      <c r="AV104" s="51">
        <v>0</v>
      </c>
      <c r="AW104" s="51">
        <v>0</v>
      </c>
      <c r="AX104" s="51">
        <v>0</v>
      </c>
      <c r="AY104" s="51">
        <v>0</v>
      </c>
      <c r="AZ104" s="51">
        <v>0</v>
      </c>
      <c r="BA104" s="51">
        <v>0</v>
      </c>
      <c r="BB104" s="51">
        <v>0</v>
      </c>
      <c r="BC104" s="51">
        <v>12585929.162380001</v>
      </c>
      <c r="BD104" s="51">
        <v>0</v>
      </c>
      <c r="BE104" s="51">
        <v>0</v>
      </c>
      <c r="BF104" s="51">
        <v>12585929.16</v>
      </c>
    </row>
    <row r="105" spans="2:58" s="25" customFormat="1" ht="12" customHeight="1" outlineLevel="2" x14ac:dyDescent="0.2">
      <c r="B105" s="22"/>
      <c r="C105" s="23"/>
      <c r="D105" s="54" t="s">
        <v>115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7"/>
      <c r="T105" s="27"/>
      <c r="U105" s="27"/>
      <c r="V105" s="27"/>
      <c r="W105" s="27"/>
      <c r="X105" s="27"/>
      <c r="Y105" s="21"/>
      <c r="Z105" s="21"/>
      <c r="AA105" s="21"/>
      <c r="AB105" s="21"/>
      <c r="AC105" s="51"/>
      <c r="AD105" s="51"/>
      <c r="AE105" s="51"/>
      <c r="AF105" s="51"/>
      <c r="AG105" s="51"/>
      <c r="AH105" s="51"/>
      <c r="AI105" s="51">
        <v>0</v>
      </c>
      <c r="AJ105" s="51">
        <v>0</v>
      </c>
      <c r="AK105" s="51">
        <v>0</v>
      </c>
      <c r="AL105" s="51"/>
      <c r="AM105" s="51"/>
      <c r="AN105" s="51"/>
      <c r="AO105" s="51"/>
      <c r="AP105" s="51"/>
      <c r="AQ105" s="51">
        <v>0</v>
      </c>
      <c r="AR105" s="51">
        <v>0</v>
      </c>
      <c r="AS105" s="51">
        <v>0</v>
      </c>
      <c r="AT105" s="51">
        <v>0</v>
      </c>
      <c r="AU105" s="51">
        <v>0</v>
      </c>
      <c r="AV105" s="51">
        <v>0</v>
      </c>
      <c r="AW105" s="51">
        <v>0</v>
      </c>
      <c r="AX105" s="51"/>
      <c r="AY105" s="51"/>
      <c r="AZ105" s="51"/>
      <c r="BA105" s="51"/>
      <c r="BB105" s="51"/>
      <c r="BC105" s="51">
        <v>7272288.2426800001</v>
      </c>
      <c r="BD105" s="51">
        <v>0</v>
      </c>
      <c r="BE105" s="51">
        <v>0</v>
      </c>
      <c r="BF105" s="51">
        <v>7272288.2400000002</v>
      </c>
    </row>
    <row r="106" spans="2:58" s="25" customFormat="1" ht="12" customHeight="1" outlineLevel="2" x14ac:dyDescent="0.2">
      <c r="B106" s="22"/>
      <c r="C106" s="23"/>
      <c r="D106" s="54" t="s">
        <v>107</v>
      </c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27"/>
      <c r="Y106" s="21"/>
      <c r="Z106" s="21"/>
      <c r="AA106" s="21"/>
      <c r="AB106" s="21"/>
      <c r="AC106" s="51"/>
      <c r="AD106" s="51"/>
      <c r="AE106" s="51"/>
      <c r="AF106" s="51"/>
      <c r="AG106" s="51">
        <v>0</v>
      </c>
      <c r="AH106" s="51">
        <v>201385.48</v>
      </c>
      <c r="AI106" s="51">
        <v>0</v>
      </c>
      <c r="AJ106" s="51">
        <v>0</v>
      </c>
      <c r="AK106" s="51">
        <v>0</v>
      </c>
      <c r="AL106" s="51">
        <v>0</v>
      </c>
      <c r="AM106" s="51">
        <v>0</v>
      </c>
      <c r="AN106" s="51">
        <v>0</v>
      </c>
      <c r="AO106" s="51">
        <v>0</v>
      </c>
      <c r="AP106" s="51">
        <v>0</v>
      </c>
      <c r="AQ106" s="51">
        <v>0</v>
      </c>
      <c r="AR106" s="51">
        <v>0</v>
      </c>
      <c r="AS106" s="51">
        <v>0</v>
      </c>
      <c r="AT106" s="51">
        <v>0</v>
      </c>
      <c r="AU106" s="51">
        <v>0</v>
      </c>
      <c r="AV106" s="51">
        <v>0</v>
      </c>
      <c r="AW106" s="51">
        <v>0</v>
      </c>
      <c r="AX106" s="51">
        <v>0</v>
      </c>
      <c r="AY106" s="51">
        <v>0</v>
      </c>
      <c r="AZ106" s="51">
        <v>0</v>
      </c>
      <c r="BA106" s="51">
        <v>0</v>
      </c>
      <c r="BB106" s="51">
        <v>0</v>
      </c>
      <c r="BC106" s="51">
        <v>3220839.52</v>
      </c>
      <c r="BD106" s="51">
        <v>0</v>
      </c>
      <c r="BE106" s="51">
        <v>0</v>
      </c>
      <c r="BF106" s="51">
        <v>3220839.52</v>
      </c>
    </row>
    <row r="107" spans="2:58" s="25" customFormat="1" ht="12" customHeight="1" outlineLevel="1" x14ac:dyDescent="0.25">
      <c r="B107" s="28"/>
      <c r="C107" s="16"/>
      <c r="D107" s="17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38"/>
      <c r="V107" s="38"/>
      <c r="W107" s="38"/>
      <c r="X107" s="38"/>
      <c r="Y107" s="19"/>
      <c r="Z107" s="19"/>
      <c r="AA107" s="19"/>
      <c r="AB107" s="19"/>
      <c r="AC107" s="50"/>
      <c r="AD107" s="50"/>
      <c r="AE107" s="50"/>
      <c r="AF107" s="50"/>
      <c r="AG107" s="50"/>
      <c r="AH107" s="50"/>
      <c r="AI107" s="50"/>
      <c r="AJ107" s="50"/>
      <c r="AK107" s="50"/>
      <c r="AL107" s="50"/>
      <c r="AM107" s="50"/>
      <c r="AN107" s="50"/>
      <c r="AO107" s="50"/>
      <c r="AP107" s="50"/>
      <c r="AQ107" s="50"/>
      <c r="AR107" s="50"/>
      <c r="AS107" s="50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  <c r="BF107" s="50"/>
    </row>
    <row r="108" spans="2:58" s="25" customFormat="1" ht="12" customHeight="1" outlineLevel="2" x14ac:dyDescent="0.25">
      <c r="B108" s="22"/>
      <c r="C108" s="23" t="s">
        <v>59</v>
      </c>
      <c r="D108" s="24"/>
      <c r="E108" s="18">
        <f t="shared" ref="E108:L108" si="22">+SUM(E109:E110)</f>
        <v>0</v>
      </c>
      <c r="F108" s="18">
        <f t="shared" si="22"/>
        <v>0</v>
      </c>
      <c r="G108" s="18">
        <f t="shared" si="22"/>
        <v>0</v>
      </c>
      <c r="H108" s="18">
        <f t="shared" si="22"/>
        <v>0</v>
      </c>
      <c r="I108" s="18">
        <f t="shared" si="22"/>
        <v>0</v>
      </c>
      <c r="J108" s="18">
        <f t="shared" si="22"/>
        <v>0</v>
      </c>
      <c r="K108" s="18">
        <f t="shared" si="22"/>
        <v>0</v>
      </c>
      <c r="L108" s="18">
        <f t="shared" si="22"/>
        <v>0</v>
      </c>
      <c r="M108" s="18">
        <f>+SUM(M109:M110)</f>
        <v>5972812.5</v>
      </c>
      <c r="N108" s="18">
        <f>+SUM(N109:N110)</f>
        <v>7656366.9699999997</v>
      </c>
      <c r="O108" s="18">
        <f>+SUM(O109:O110)</f>
        <v>108409142.765</v>
      </c>
      <c r="P108" s="18">
        <f>+SUM(P109:P110)</f>
        <v>66822581.443570018</v>
      </c>
      <c r="Q108" s="18">
        <f>+SUM(Q109:Q111)</f>
        <v>72374366.189444855</v>
      </c>
      <c r="R108" s="18">
        <f>+SUM(R109:R111)</f>
        <v>360521363.10075212</v>
      </c>
      <c r="S108" s="18">
        <f t="shared" ref="S108:X108" si="23">+SUM(S109:S117)</f>
        <v>79926145.944973871</v>
      </c>
      <c r="T108" s="18">
        <f t="shared" si="23"/>
        <v>386128937.3688972</v>
      </c>
      <c r="U108" s="18">
        <f t="shared" si="23"/>
        <v>1230219251.7</v>
      </c>
      <c r="V108" s="18">
        <f t="shared" si="23"/>
        <v>547160365.21889055</v>
      </c>
      <c r="W108" s="18">
        <f t="shared" si="23"/>
        <v>143840497.27090001</v>
      </c>
      <c r="X108" s="18">
        <f t="shared" si="23"/>
        <v>658938246.4134295</v>
      </c>
      <c r="Y108" s="19">
        <f t="shared" ref="Y108:AB108" si="24">+SUM(Y109:Y117)</f>
        <v>164948923.99000001</v>
      </c>
      <c r="Z108" s="19">
        <f t="shared" si="24"/>
        <v>719143991.33999991</v>
      </c>
      <c r="AA108" s="19">
        <f t="shared" si="24"/>
        <v>260875533.49000001</v>
      </c>
      <c r="AB108" s="19">
        <f t="shared" si="24"/>
        <v>1587426430.5689406</v>
      </c>
      <c r="AC108" s="50">
        <v>7280443435.8018932</v>
      </c>
      <c r="AD108" s="50">
        <v>2311634153.3904881</v>
      </c>
      <c r="AE108" s="50">
        <v>0</v>
      </c>
      <c r="AF108" s="50">
        <v>4106536680.8781033</v>
      </c>
      <c r="AG108" s="50">
        <v>1717338281.25</v>
      </c>
      <c r="AH108" s="50">
        <v>6718069339.0731039</v>
      </c>
      <c r="AI108" s="50">
        <v>563531250</v>
      </c>
      <c r="AJ108" s="50">
        <v>0</v>
      </c>
      <c r="AK108" s="50">
        <v>0</v>
      </c>
      <c r="AL108" s="50">
        <v>622809375</v>
      </c>
      <c r="AM108" s="50">
        <v>0</v>
      </c>
      <c r="AN108" s="50">
        <v>0</v>
      </c>
      <c r="AO108" s="50">
        <v>674156250</v>
      </c>
      <c r="AP108" s="50">
        <v>0</v>
      </c>
      <c r="AQ108" s="50">
        <v>0</v>
      </c>
      <c r="AR108" s="50">
        <v>733640625</v>
      </c>
      <c r="AS108" s="50">
        <v>0</v>
      </c>
      <c r="AT108" s="50">
        <v>2594137500</v>
      </c>
      <c r="AU108" s="50">
        <v>1247670807.6399999</v>
      </c>
      <c r="AV108" s="50">
        <v>1180838802.21</v>
      </c>
      <c r="AW108" s="50">
        <f>+AW115</f>
        <v>357724.17</v>
      </c>
      <c r="AX108" s="50">
        <v>299899922.06</v>
      </c>
      <c r="AY108" s="50">
        <v>389197.59</v>
      </c>
      <c r="AZ108" s="50">
        <v>1787893134.3500001</v>
      </c>
      <c r="BA108" s="50">
        <v>1472469884.6700001</v>
      </c>
      <c r="BB108" s="50">
        <v>1410184887.4400001</v>
      </c>
      <c r="BC108" s="50">
        <v>495429.94</v>
      </c>
      <c r="BD108" s="50">
        <v>327174440.83499998</v>
      </c>
      <c r="BE108" s="50">
        <v>466434.61</v>
      </c>
      <c r="BF108" s="50">
        <v>7727840665.51931</v>
      </c>
    </row>
    <row r="109" spans="2:58" s="25" customFormat="1" ht="12" customHeight="1" outlineLevel="2" x14ac:dyDescent="0.2">
      <c r="B109" s="22"/>
      <c r="C109" s="23"/>
      <c r="D109" s="26" t="s">
        <v>75</v>
      </c>
      <c r="E109" s="27">
        <v>0</v>
      </c>
      <c r="F109" s="27">
        <v>0</v>
      </c>
      <c r="G109" s="27">
        <v>0</v>
      </c>
      <c r="H109" s="27">
        <v>0</v>
      </c>
      <c r="I109" s="27">
        <v>0</v>
      </c>
      <c r="J109" s="27">
        <v>0</v>
      </c>
      <c r="K109" s="27">
        <v>0</v>
      </c>
      <c r="L109" s="27">
        <v>0</v>
      </c>
      <c r="M109" s="27">
        <v>5972812.5</v>
      </c>
      <c r="N109" s="27">
        <v>7656366.9699999997</v>
      </c>
      <c r="O109" s="27">
        <v>108409142.765</v>
      </c>
      <c r="P109" s="27">
        <v>66822581.443570018</v>
      </c>
      <c r="Q109" s="27">
        <v>72374366.189444855</v>
      </c>
      <c r="R109" s="27">
        <v>58659866.525877066</v>
      </c>
      <c r="S109" s="27">
        <v>79926145.944973871</v>
      </c>
      <c r="T109" s="27">
        <v>54807426.297181748</v>
      </c>
      <c r="U109" s="27">
        <v>96771751.700000003</v>
      </c>
      <c r="V109" s="27">
        <v>54909259.152569994</v>
      </c>
      <c r="W109" s="27">
        <v>143840497.27090001</v>
      </c>
      <c r="X109" s="27">
        <v>63668744.650687985</v>
      </c>
      <c r="Y109" s="21">
        <v>164948923.99000001</v>
      </c>
      <c r="Z109" s="21">
        <v>56821456.849999994</v>
      </c>
      <c r="AA109" s="21">
        <v>260875533.49000001</v>
      </c>
      <c r="AB109" s="21">
        <v>55295841.631055839</v>
      </c>
      <c r="AC109" s="51">
        <v>266402875.80189374</v>
      </c>
      <c r="AD109" s="51">
        <v>29658415.22548794</v>
      </c>
      <c r="AE109" s="51"/>
      <c r="AF109" s="51"/>
      <c r="AG109" s="51"/>
      <c r="AH109" s="51">
        <v>381129.63999999996</v>
      </c>
      <c r="AI109" s="51"/>
      <c r="AJ109" s="51"/>
      <c r="AK109" s="51"/>
      <c r="AL109" s="51"/>
      <c r="AM109" s="51"/>
      <c r="AN109" s="51"/>
      <c r="AO109" s="51"/>
      <c r="AP109" s="51"/>
      <c r="AQ109" s="51"/>
      <c r="AR109" s="51"/>
      <c r="AS109" s="51"/>
      <c r="AT109" s="51"/>
      <c r="AU109" s="51"/>
      <c r="AV109" s="51"/>
      <c r="AW109" s="51"/>
      <c r="AX109" s="51"/>
      <c r="AY109" s="51"/>
      <c r="AZ109" s="51"/>
      <c r="BA109" s="51"/>
      <c r="BB109" s="51"/>
      <c r="BC109" s="51"/>
      <c r="BD109" s="51"/>
      <c r="BE109" s="51"/>
      <c r="BF109" s="51"/>
    </row>
    <row r="110" spans="2:58" s="25" customFormat="1" ht="12" customHeight="1" outlineLevel="2" x14ac:dyDescent="0.25">
      <c r="B110" s="22"/>
      <c r="C110" s="23"/>
      <c r="D110" s="26" t="s">
        <v>76</v>
      </c>
      <c r="E110" s="27">
        <v>0</v>
      </c>
      <c r="F110" s="27">
        <v>0</v>
      </c>
      <c r="G110" s="27">
        <v>0</v>
      </c>
      <c r="H110" s="27">
        <v>0</v>
      </c>
      <c r="I110" s="27">
        <v>0</v>
      </c>
      <c r="J110" s="27">
        <v>0</v>
      </c>
      <c r="K110" s="27">
        <v>0</v>
      </c>
      <c r="L110" s="27">
        <v>0</v>
      </c>
      <c r="M110" s="27">
        <v>0</v>
      </c>
      <c r="N110" s="27">
        <v>0</v>
      </c>
      <c r="O110" s="27">
        <v>0</v>
      </c>
      <c r="P110" s="27">
        <v>0</v>
      </c>
      <c r="Q110" s="27">
        <v>0</v>
      </c>
      <c r="R110" s="27">
        <v>251366692.98487502</v>
      </c>
      <c r="S110" s="27">
        <v>0</v>
      </c>
      <c r="T110" s="27">
        <v>221756628.62818792</v>
      </c>
      <c r="U110" s="27">
        <v>0</v>
      </c>
      <c r="V110" s="27">
        <v>261414357.45374998</v>
      </c>
      <c r="W110" s="27">
        <v>0</v>
      </c>
      <c r="X110" s="27">
        <v>399495111.83536267</v>
      </c>
      <c r="Y110" s="19"/>
      <c r="Z110" s="21">
        <v>444535871.10999995</v>
      </c>
      <c r="AA110" s="21"/>
      <c r="AB110" s="21">
        <v>942773681.42167783</v>
      </c>
      <c r="AC110" s="51">
        <v>3542488560</v>
      </c>
      <c r="AD110" s="51">
        <v>412540426.89999998</v>
      </c>
      <c r="AE110" s="51"/>
      <c r="AF110" s="51">
        <v>132193.51</v>
      </c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1"/>
      <c r="AR110" s="51"/>
      <c r="AS110" s="51"/>
      <c r="AT110" s="51"/>
      <c r="AU110" s="51"/>
      <c r="AV110" s="51"/>
      <c r="AW110" s="51"/>
      <c r="AX110" s="51"/>
      <c r="AY110" s="51"/>
      <c r="AZ110" s="51"/>
      <c r="BA110" s="51"/>
      <c r="BB110" s="51"/>
      <c r="BC110" s="51"/>
      <c r="BD110" s="51"/>
      <c r="BE110" s="51"/>
      <c r="BF110" s="51"/>
    </row>
    <row r="111" spans="2:58" s="25" customFormat="1" ht="12" customHeight="1" outlineLevel="2" x14ac:dyDescent="0.25">
      <c r="B111" s="22"/>
      <c r="C111" s="23"/>
      <c r="D111" s="26" t="s">
        <v>77</v>
      </c>
      <c r="E111" s="18"/>
      <c r="F111" s="18"/>
      <c r="G111" s="18"/>
      <c r="H111" s="18"/>
      <c r="I111" s="18"/>
      <c r="J111" s="18"/>
      <c r="K111" s="18"/>
      <c r="L111" s="18"/>
      <c r="M111" s="27"/>
      <c r="N111" s="27"/>
      <c r="O111" s="27"/>
      <c r="P111" s="27"/>
      <c r="Q111" s="27">
        <v>0</v>
      </c>
      <c r="R111" s="27">
        <v>50494803.590000004</v>
      </c>
      <c r="S111" s="27">
        <v>0</v>
      </c>
      <c r="T111" s="27">
        <v>108626017.72352749</v>
      </c>
      <c r="U111" s="27">
        <v>0</v>
      </c>
      <c r="V111" s="27">
        <v>128046526.03</v>
      </c>
      <c r="W111" s="27">
        <v>0</v>
      </c>
      <c r="X111" s="27">
        <v>195774389.92737883</v>
      </c>
      <c r="Y111" s="19"/>
      <c r="Z111" s="21">
        <v>217786663.38</v>
      </c>
      <c r="AA111" s="21"/>
      <c r="AB111" s="21">
        <v>176201395.68999997</v>
      </c>
      <c r="AC111" s="51">
        <v>3471552000</v>
      </c>
      <c r="AD111" s="51">
        <v>404279511.37</v>
      </c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</row>
    <row r="112" spans="2:58" s="25" customFormat="1" ht="12" customHeight="1" outlineLevel="2" x14ac:dyDescent="0.25">
      <c r="B112" s="22"/>
      <c r="C112" s="23"/>
      <c r="D112" s="26" t="s">
        <v>86</v>
      </c>
      <c r="E112" s="18"/>
      <c r="F112" s="18"/>
      <c r="G112" s="18"/>
      <c r="H112" s="18"/>
      <c r="I112" s="18"/>
      <c r="J112" s="18"/>
      <c r="K112" s="18"/>
      <c r="L112" s="18"/>
      <c r="M112" s="27"/>
      <c r="N112" s="27"/>
      <c r="O112" s="27"/>
      <c r="P112" s="27"/>
      <c r="Q112" s="27"/>
      <c r="R112" s="27"/>
      <c r="S112" s="27"/>
      <c r="T112" s="27"/>
      <c r="U112" s="27"/>
      <c r="V112" s="27"/>
      <c r="W112" s="27"/>
      <c r="X112" s="27"/>
      <c r="Y112" s="19"/>
      <c r="Z112" s="21"/>
      <c r="AA112" s="21"/>
      <c r="AB112" s="21">
        <v>413155511.8262068</v>
      </c>
      <c r="AC112" s="51">
        <v>0</v>
      </c>
      <c r="AD112" s="51">
        <v>863676914.55500007</v>
      </c>
      <c r="AE112" s="51">
        <v>0</v>
      </c>
      <c r="AF112" s="51">
        <v>1605068915.5481033</v>
      </c>
      <c r="AG112" s="51">
        <v>0</v>
      </c>
      <c r="AH112" s="51">
        <v>2707521640.6331034</v>
      </c>
      <c r="AI112" s="51">
        <v>0</v>
      </c>
      <c r="AJ112" s="51">
        <v>0</v>
      </c>
      <c r="AK112" s="51">
        <v>0</v>
      </c>
      <c r="AL112" s="51">
        <v>0</v>
      </c>
      <c r="AM112" s="51">
        <v>0</v>
      </c>
      <c r="AN112" s="51">
        <v>0</v>
      </c>
      <c r="AO112" s="51">
        <v>0</v>
      </c>
      <c r="AP112" s="51">
        <v>0</v>
      </c>
      <c r="AQ112" s="51">
        <v>0</v>
      </c>
      <c r="AR112" s="51">
        <v>0</v>
      </c>
      <c r="AS112" s="51">
        <v>0</v>
      </c>
      <c r="AT112" s="51">
        <v>0</v>
      </c>
      <c r="AU112" s="51">
        <v>0</v>
      </c>
      <c r="AV112" s="51">
        <v>0</v>
      </c>
      <c r="AW112" s="51">
        <v>0</v>
      </c>
      <c r="AX112" s="51">
        <v>0</v>
      </c>
      <c r="AY112" s="51">
        <v>0</v>
      </c>
      <c r="AZ112" s="51">
        <v>1787172180.1700001</v>
      </c>
      <c r="BA112" s="51">
        <v>0</v>
      </c>
      <c r="BB112" s="51">
        <v>0</v>
      </c>
      <c r="BC112" s="51">
        <v>0</v>
      </c>
      <c r="BD112" s="51">
        <v>0</v>
      </c>
      <c r="BE112" s="51">
        <v>0</v>
      </c>
      <c r="BF112" s="51">
        <v>1787172180.1693101</v>
      </c>
    </row>
    <row r="113" spans="2:58" s="25" customFormat="1" ht="12" customHeight="1" outlineLevel="2" x14ac:dyDescent="0.25">
      <c r="B113" s="22"/>
      <c r="C113" s="23"/>
      <c r="D113" s="26" t="s">
        <v>90</v>
      </c>
      <c r="E113" s="18"/>
      <c r="F113" s="18"/>
      <c r="G113" s="18"/>
      <c r="H113" s="18"/>
      <c r="I113" s="18"/>
      <c r="J113" s="18"/>
      <c r="K113" s="18"/>
      <c r="L113" s="18"/>
      <c r="M113" s="27"/>
      <c r="N113" s="27"/>
      <c r="O113" s="27"/>
      <c r="P113" s="27"/>
      <c r="Q113" s="27"/>
      <c r="R113" s="27"/>
      <c r="S113" s="27"/>
      <c r="T113" s="27"/>
      <c r="U113" s="27"/>
      <c r="V113" s="27"/>
      <c r="W113" s="27"/>
      <c r="X113" s="27"/>
      <c r="Y113" s="19"/>
      <c r="Z113" s="21"/>
      <c r="AA113" s="21"/>
      <c r="AB113" s="21"/>
      <c r="AC113" s="51">
        <v>0</v>
      </c>
      <c r="AD113" s="51">
        <v>329503687.19999999</v>
      </c>
      <c r="AE113" s="51">
        <v>0</v>
      </c>
      <c r="AF113" s="51">
        <v>966431681.97000003</v>
      </c>
      <c r="AG113" s="51">
        <v>0</v>
      </c>
      <c r="AH113" s="51">
        <v>1787855225.9200001</v>
      </c>
      <c r="AI113" s="51">
        <v>0</v>
      </c>
      <c r="AJ113" s="51">
        <v>0</v>
      </c>
      <c r="AK113" s="51">
        <v>0</v>
      </c>
      <c r="AL113" s="51">
        <v>0</v>
      </c>
      <c r="AM113" s="51">
        <v>0</v>
      </c>
      <c r="AN113" s="51">
        <v>0</v>
      </c>
      <c r="AO113" s="51">
        <v>0</v>
      </c>
      <c r="AP113" s="51">
        <v>0</v>
      </c>
      <c r="AQ113" s="51">
        <v>0</v>
      </c>
      <c r="AR113" s="51">
        <v>0</v>
      </c>
      <c r="AS113" s="51">
        <v>0</v>
      </c>
      <c r="AT113" s="51">
        <v>0</v>
      </c>
      <c r="AU113" s="51">
        <v>0</v>
      </c>
      <c r="AV113" s="51">
        <v>1180486446.77</v>
      </c>
      <c r="AW113" s="51">
        <v>0</v>
      </c>
      <c r="AX113" s="51">
        <v>0</v>
      </c>
      <c r="AY113" s="51">
        <v>0</v>
      </c>
      <c r="AZ113" s="51">
        <v>0</v>
      </c>
      <c r="BA113" s="51">
        <v>0</v>
      </c>
      <c r="BB113" s="51">
        <v>1409729711.2</v>
      </c>
      <c r="BC113" s="51">
        <v>0</v>
      </c>
      <c r="BD113" s="51">
        <v>0</v>
      </c>
      <c r="BE113" s="51">
        <v>0</v>
      </c>
      <c r="BF113" s="51">
        <v>2590216157.9700003</v>
      </c>
    </row>
    <row r="114" spans="2:58" s="25" customFormat="1" ht="12" customHeight="1" outlineLevel="2" x14ac:dyDescent="0.25">
      <c r="B114" s="22"/>
      <c r="C114" s="23"/>
      <c r="D114" s="26" t="s">
        <v>92</v>
      </c>
      <c r="E114" s="18"/>
      <c r="F114" s="18"/>
      <c r="G114" s="18"/>
      <c r="H114" s="18"/>
      <c r="I114" s="18"/>
      <c r="J114" s="18"/>
      <c r="K114" s="18"/>
      <c r="L114" s="18"/>
      <c r="M114" s="27"/>
      <c r="N114" s="27"/>
      <c r="O114" s="27"/>
      <c r="P114" s="27"/>
      <c r="Q114" s="27"/>
      <c r="R114" s="27"/>
      <c r="S114" s="27"/>
      <c r="T114" s="27"/>
      <c r="U114" s="27"/>
      <c r="V114" s="27"/>
      <c r="W114" s="27"/>
      <c r="X114" s="27"/>
      <c r="Y114" s="19"/>
      <c r="Z114" s="21"/>
      <c r="AA114" s="21"/>
      <c r="AB114" s="21"/>
      <c r="AC114" s="51">
        <v>0</v>
      </c>
      <c r="AD114" s="51">
        <v>687690</v>
      </c>
      <c r="AE114" s="51">
        <v>0</v>
      </c>
      <c r="AF114" s="51">
        <v>800812891.72000003</v>
      </c>
      <c r="AG114" s="51">
        <v>0</v>
      </c>
      <c r="AH114" s="51">
        <v>1291375658.26</v>
      </c>
      <c r="AI114" s="51">
        <v>0</v>
      </c>
      <c r="AJ114" s="51">
        <v>0</v>
      </c>
      <c r="AK114" s="51">
        <v>0</v>
      </c>
      <c r="AL114" s="51">
        <v>0</v>
      </c>
      <c r="AM114" s="51">
        <v>0</v>
      </c>
      <c r="AN114" s="51">
        <v>0</v>
      </c>
      <c r="AO114" s="51">
        <v>0</v>
      </c>
      <c r="AP114" s="51">
        <v>0</v>
      </c>
      <c r="AQ114" s="51">
        <v>0</v>
      </c>
      <c r="AR114" s="51">
        <v>0</v>
      </c>
      <c r="AS114" s="51">
        <v>0</v>
      </c>
      <c r="AT114" s="51">
        <v>0</v>
      </c>
      <c r="AU114" s="51">
        <v>966267653.27999997</v>
      </c>
      <c r="AV114" s="51">
        <v>0</v>
      </c>
      <c r="AW114" s="51">
        <v>0</v>
      </c>
      <c r="AX114" s="51">
        <v>0</v>
      </c>
      <c r="AY114" s="51">
        <v>0</v>
      </c>
      <c r="AZ114" s="51">
        <v>0</v>
      </c>
      <c r="BA114" s="51">
        <v>1159845435.54</v>
      </c>
      <c r="BB114" s="51">
        <v>0</v>
      </c>
      <c r="BC114" s="51">
        <v>0</v>
      </c>
      <c r="BD114" s="51">
        <v>0</v>
      </c>
      <c r="BE114" s="51">
        <v>0</v>
      </c>
      <c r="BF114" s="51">
        <v>2126113088.8199999</v>
      </c>
    </row>
    <row r="115" spans="2:58" s="25" customFormat="1" ht="12" customHeight="1" outlineLevel="2" x14ac:dyDescent="0.25">
      <c r="B115" s="22"/>
      <c r="C115" s="23"/>
      <c r="D115" s="26" t="s">
        <v>89</v>
      </c>
      <c r="E115" s="18"/>
      <c r="F115" s="18"/>
      <c r="G115" s="18"/>
      <c r="H115" s="18"/>
      <c r="I115" s="18"/>
      <c r="J115" s="18"/>
      <c r="K115" s="18"/>
      <c r="L115" s="18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7"/>
      <c r="X115" s="27"/>
      <c r="Y115" s="19"/>
      <c r="Z115" s="21"/>
      <c r="AA115" s="21"/>
      <c r="AB115" s="21"/>
      <c r="AC115" s="51">
        <v>0</v>
      </c>
      <c r="AD115" s="51">
        <v>271287508.13999999</v>
      </c>
      <c r="AE115" s="51">
        <v>0</v>
      </c>
      <c r="AF115" s="51">
        <v>734090998.13</v>
      </c>
      <c r="AG115" s="51">
        <v>1717338281.25</v>
      </c>
      <c r="AH115" s="51">
        <v>930935684.61999989</v>
      </c>
      <c r="AI115" s="51">
        <v>563531250</v>
      </c>
      <c r="AJ115" s="51">
        <v>0</v>
      </c>
      <c r="AK115" s="51">
        <v>0</v>
      </c>
      <c r="AL115" s="51">
        <v>622809375</v>
      </c>
      <c r="AM115" s="51">
        <v>0</v>
      </c>
      <c r="AN115" s="51">
        <v>0</v>
      </c>
      <c r="AO115" s="51">
        <v>674156250</v>
      </c>
      <c r="AP115" s="51">
        <v>0</v>
      </c>
      <c r="AQ115" s="51">
        <v>0</v>
      </c>
      <c r="AR115" s="51">
        <v>733640625</v>
      </c>
      <c r="AS115" s="51">
        <v>0</v>
      </c>
      <c r="AT115" s="51">
        <v>2594137500</v>
      </c>
      <c r="AU115" s="51">
        <v>281403154.36000001</v>
      </c>
      <c r="AV115" s="51">
        <v>352355.44</v>
      </c>
      <c r="AW115" s="51">
        <v>357724.17</v>
      </c>
      <c r="AX115" s="51">
        <v>299899922.06</v>
      </c>
      <c r="AY115" s="51">
        <v>389197.59</v>
      </c>
      <c r="AZ115" s="51">
        <v>720954.17999999993</v>
      </c>
      <c r="BA115" s="51">
        <v>312624449.13</v>
      </c>
      <c r="BB115" s="51">
        <v>455176.24</v>
      </c>
      <c r="BC115" s="51">
        <v>495429.94</v>
      </c>
      <c r="BD115" s="51">
        <v>327174440.83499998</v>
      </c>
      <c r="BE115" s="51">
        <v>466434.61</v>
      </c>
      <c r="BF115" s="51">
        <v>1224339238.5599999</v>
      </c>
    </row>
    <row r="116" spans="2:58" s="25" customFormat="1" ht="12" customHeight="1" outlineLevel="2" x14ac:dyDescent="0.25">
      <c r="B116" s="22"/>
      <c r="C116" s="23"/>
      <c r="D116" s="26" t="s">
        <v>78</v>
      </c>
      <c r="E116" s="18"/>
      <c r="F116" s="18"/>
      <c r="G116" s="18"/>
      <c r="H116" s="18"/>
      <c r="I116" s="18"/>
      <c r="J116" s="18"/>
      <c r="K116" s="18"/>
      <c r="L116" s="18"/>
      <c r="M116" s="27"/>
      <c r="N116" s="27"/>
      <c r="O116" s="27"/>
      <c r="P116" s="27"/>
      <c r="Q116" s="27"/>
      <c r="R116" s="27"/>
      <c r="S116" s="27">
        <v>0</v>
      </c>
      <c r="T116" s="27">
        <v>938864.72</v>
      </c>
      <c r="U116" s="27">
        <v>570227500</v>
      </c>
      <c r="V116" s="27">
        <v>53317678.422570571</v>
      </c>
      <c r="W116" s="27">
        <v>0</v>
      </c>
      <c r="X116" s="27"/>
      <c r="Y116" s="19"/>
      <c r="Z116" s="19"/>
      <c r="AA116" s="19"/>
      <c r="AB116" s="19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</row>
    <row r="117" spans="2:58" s="25" customFormat="1" ht="12" customHeight="1" outlineLevel="2" x14ac:dyDescent="0.25">
      <c r="B117" s="22"/>
      <c r="C117" s="23"/>
      <c r="D117" s="26" t="s">
        <v>79</v>
      </c>
      <c r="E117" s="18"/>
      <c r="F117" s="18"/>
      <c r="G117" s="18"/>
      <c r="H117" s="18"/>
      <c r="I117" s="18"/>
      <c r="J117" s="18"/>
      <c r="K117" s="18"/>
      <c r="L117" s="18"/>
      <c r="M117" s="27"/>
      <c r="N117" s="27"/>
      <c r="O117" s="27"/>
      <c r="P117" s="27"/>
      <c r="Q117" s="27"/>
      <c r="R117" s="27"/>
      <c r="S117" s="27">
        <v>0</v>
      </c>
      <c r="T117" s="27">
        <v>0</v>
      </c>
      <c r="U117" s="27">
        <v>563220000</v>
      </c>
      <c r="V117" s="27">
        <v>49472544.159999996</v>
      </c>
      <c r="W117" s="27"/>
      <c r="X117" s="27"/>
      <c r="Y117" s="19"/>
      <c r="Z117" s="19"/>
      <c r="AA117" s="19"/>
      <c r="AB117" s="19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50"/>
      <c r="AQ117" s="50"/>
      <c r="AR117" s="50"/>
      <c r="AS117" s="50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  <c r="BF117" s="50"/>
    </row>
    <row r="118" spans="2:58" s="25" customFormat="1" ht="12" customHeight="1" outlineLevel="2" x14ac:dyDescent="0.25">
      <c r="B118" s="22"/>
      <c r="C118" s="23"/>
      <c r="D118" s="26"/>
      <c r="E118" s="18"/>
      <c r="F118" s="18"/>
      <c r="G118" s="18"/>
      <c r="H118" s="18"/>
      <c r="I118" s="18"/>
      <c r="J118" s="18"/>
      <c r="K118" s="18"/>
      <c r="L118" s="18"/>
      <c r="M118" s="27"/>
      <c r="N118" s="27"/>
      <c r="O118" s="27"/>
      <c r="P118" s="27"/>
      <c r="Q118" s="27"/>
      <c r="R118" s="27"/>
      <c r="S118" s="27"/>
      <c r="T118" s="27"/>
      <c r="U118" s="27"/>
      <c r="V118" s="27"/>
      <c r="W118" s="27"/>
      <c r="X118" s="27"/>
      <c r="Y118" s="19"/>
      <c r="Z118" s="19"/>
      <c r="AA118" s="19"/>
      <c r="AB118" s="19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</row>
    <row r="119" spans="2:58" s="25" customFormat="1" ht="12" customHeight="1" outlineLevel="2" x14ac:dyDescent="0.25">
      <c r="B119" s="22"/>
      <c r="C119" s="23" t="s">
        <v>61</v>
      </c>
      <c r="D119" s="26"/>
      <c r="E119" s="18">
        <f t="shared" ref="E119:Q119" si="25">+SUM(E120:E122)</f>
        <v>0</v>
      </c>
      <c r="F119" s="18">
        <f t="shared" si="25"/>
        <v>0</v>
      </c>
      <c r="G119" s="18">
        <f t="shared" si="25"/>
        <v>0</v>
      </c>
      <c r="H119" s="18">
        <f t="shared" si="25"/>
        <v>0</v>
      </c>
      <c r="I119" s="18">
        <f t="shared" si="25"/>
        <v>0</v>
      </c>
      <c r="J119" s="18">
        <f t="shared" si="25"/>
        <v>0</v>
      </c>
      <c r="K119" s="18">
        <f t="shared" si="25"/>
        <v>0</v>
      </c>
      <c r="L119" s="18">
        <f t="shared" si="25"/>
        <v>0</v>
      </c>
      <c r="M119" s="18">
        <f t="shared" si="25"/>
        <v>0</v>
      </c>
      <c r="N119" s="18">
        <f t="shared" si="25"/>
        <v>0</v>
      </c>
      <c r="O119" s="18">
        <f t="shared" si="25"/>
        <v>0</v>
      </c>
      <c r="P119" s="18">
        <f t="shared" si="25"/>
        <v>0</v>
      </c>
      <c r="Q119" s="18">
        <f t="shared" si="25"/>
        <v>10580659.405923652</v>
      </c>
      <c r="R119" s="18">
        <f t="shared" ref="R119:X119" si="26">+SUM(R120:R122)</f>
        <v>8480338.2692728303</v>
      </c>
      <c r="S119" s="18">
        <f t="shared" si="26"/>
        <v>12357437.652815418</v>
      </c>
      <c r="T119" s="18">
        <f t="shared" si="26"/>
        <v>7893471.4164993661</v>
      </c>
      <c r="U119" s="18">
        <f t="shared" si="26"/>
        <v>16437879.376418423</v>
      </c>
      <c r="V119" s="18">
        <f t="shared" si="26"/>
        <v>9042525.5600000005</v>
      </c>
      <c r="W119" s="18">
        <f>+SUM(W120:W122)</f>
        <v>26875715.34</v>
      </c>
      <c r="X119" s="18">
        <f t="shared" si="26"/>
        <v>10659686.408000002</v>
      </c>
      <c r="Y119" s="19">
        <f t="shared" ref="Y119:AB119" si="27">+SUM(Y120:Y122)</f>
        <v>29873525.919999994</v>
      </c>
      <c r="Z119" s="19">
        <f t="shared" si="27"/>
        <v>8273889.9040000001</v>
      </c>
      <c r="AA119" s="19">
        <f t="shared" si="27"/>
        <v>57801843.160000004</v>
      </c>
      <c r="AB119" s="19">
        <f t="shared" si="27"/>
        <v>7954992.2139999811</v>
      </c>
      <c r="AC119" s="50">
        <v>47592873.890000001</v>
      </c>
      <c r="AD119" s="50">
        <v>5129340.021799989</v>
      </c>
      <c r="AE119" s="50">
        <v>63005497.389999993</v>
      </c>
      <c r="AF119" s="50">
        <v>14013330.630619997</v>
      </c>
      <c r="AG119" s="50">
        <v>98985359.180000007</v>
      </c>
      <c r="AH119" s="50">
        <v>20830412.57</v>
      </c>
      <c r="AI119" s="50">
        <v>10100803.99</v>
      </c>
      <c r="AJ119" s="50">
        <v>10432597.550000001</v>
      </c>
      <c r="AK119" s="50">
        <f>+AK123</f>
        <v>10785390.710000001</v>
      </c>
      <c r="AL119" s="50">
        <v>11133143.960000001</v>
      </c>
      <c r="AM119" s="50">
        <v>11457377.67</v>
      </c>
      <c r="AN119" s="50">
        <v>11759276.91</v>
      </c>
      <c r="AO119" s="50">
        <v>0</v>
      </c>
      <c r="AP119" s="50">
        <v>0</v>
      </c>
      <c r="AQ119" s="50">
        <v>0</v>
      </c>
      <c r="AR119" s="50">
        <v>0</v>
      </c>
      <c r="AS119" s="50">
        <v>0</v>
      </c>
      <c r="AT119" s="50">
        <v>65668590.790000007</v>
      </c>
      <c r="AU119" s="50">
        <v>2066052.6400000001</v>
      </c>
      <c r="AV119" s="50">
        <v>2123315.89</v>
      </c>
      <c r="AW119" s="50">
        <f>AW123</f>
        <v>2184194.14</v>
      </c>
      <c r="AX119" s="50">
        <v>2243953.42</v>
      </c>
      <c r="AY119" s="50">
        <v>2297973.4500000007</v>
      </c>
      <c r="AZ119" s="50">
        <v>2346820.58</v>
      </c>
      <c r="BA119" s="50">
        <v>0</v>
      </c>
      <c r="BB119" s="50">
        <v>0</v>
      </c>
      <c r="BC119" s="50">
        <v>0</v>
      </c>
      <c r="BD119" s="50">
        <v>0</v>
      </c>
      <c r="BE119" s="50">
        <v>0</v>
      </c>
      <c r="BF119" s="50">
        <v>13262310.120000001</v>
      </c>
    </row>
    <row r="120" spans="2:58" s="25" customFormat="1" ht="12" customHeight="1" outlineLevel="2" x14ac:dyDescent="0.2">
      <c r="B120" s="22"/>
      <c r="C120" s="23"/>
      <c r="D120" s="26" t="s">
        <v>80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7">
        <v>0</v>
      </c>
      <c r="P120" s="27">
        <v>0</v>
      </c>
      <c r="Q120" s="27">
        <v>9279470.8487098068</v>
      </c>
      <c r="R120" s="27">
        <v>7400207.85857426</v>
      </c>
      <c r="S120" s="27">
        <v>11269978.18</v>
      </c>
      <c r="T120" s="27">
        <v>7024772.4331999999</v>
      </c>
      <c r="U120" s="27">
        <v>14991420.116434671</v>
      </c>
      <c r="V120" s="27">
        <v>7184124.3799999999</v>
      </c>
      <c r="W120" s="27">
        <v>24510896.869999997</v>
      </c>
      <c r="X120" s="27">
        <v>7842764.2880000016</v>
      </c>
      <c r="Y120" s="21">
        <v>27245060.789999995</v>
      </c>
      <c r="Z120" s="21">
        <v>6257688.2439999999</v>
      </c>
      <c r="AA120" s="21">
        <v>52716300.790000007</v>
      </c>
      <c r="AB120" s="21">
        <v>7027532.9179999866</v>
      </c>
      <c r="AC120" s="51">
        <v>30063447</v>
      </c>
      <c r="AD120" s="51">
        <v>1300612.1139999889</v>
      </c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1"/>
      <c r="AR120" s="51"/>
      <c r="AS120" s="51"/>
      <c r="AT120" s="51"/>
      <c r="AU120" s="51"/>
      <c r="AV120" s="51"/>
      <c r="AW120" s="51"/>
      <c r="AX120" s="51"/>
      <c r="AY120" s="51"/>
      <c r="AZ120" s="51"/>
      <c r="BA120" s="51"/>
      <c r="BB120" s="51"/>
      <c r="BC120" s="51"/>
      <c r="BD120" s="51"/>
      <c r="BE120" s="51"/>
      <c r="BF120" s="51"/>
    </row>
    <row r="121" spans="2:58" s="14" customFormat="1" ht="12.75" customHeight="1" x14ac:dyDescent="0.2">
      <c r="B121" s="22"/>
      <c r="C121" s="23"/>
      <c r="D121" s="26" t="s">
        <v>81</v>
      </c>
      <c r="E121" s="27">
        <v>0</v>
      </c>
      <c r="F121" s="27">
        <v>0</v>
      </c>
      <c r="G121" s="27">
        <v>0</v>
      </c>
      <c r="H121" s="27">
        <v>0</v>
      </c>
      <c r="I121" s="27">
        <v>0</v>
      </c>
      <c r="J121" s="27">
        <v>0</v>
      </c>
      <c r="K121" s="27">
        <v>0</v>
      </c>
      <c r="L121" s="27">
        <v>0</v>
      </c>
      <c r="M121" s="27">
        <v>0</v>
      </c>
      <c r="N121" s="27">
        <v>0</v>
      </c>
      <c r="O121" s="27">
        <v>0</v>
      </c>
      <c r="P121" s="27">
        <v>0</v>
      </c>
      <c r="Q121" s="27">
        <v>932052.46756480832</v>
      </c>
      <c r="R121" s="27">
        <v>775555.56034760247</v>
      </c>
      <c r="S121" s="27">
        <v>779013.04281541868</v>
      </c>
      <c r="T121" s="27">
        <v>565596.69703892583</v>
      </c>
      <c r="U121" s="27">
        <v>1036246.1277222385</v>
      </c>
      <c r="V121" s="27">
        <v>1331576.52</v>
      </c>
      <c r="W121" s="27">
        <v>1694257.28</v>
      </c>
      <c r="X121" s="27">
        <v>1546261.2</v>
      </c>
      <c r="Y121" s="21">
        <v>1883249.8</v>
      </c>
      <c r="Z121" s="21">
        <v>1431396.3</v>
      </c>
      <c r="AA121" s="21">
        <v>3643913.36</v>
      </c>
      <c r="AB121" s="21">
        <v>685595.59600000002</v>
      </c>
      <c r="AC121" s="51">
        <v>2078083.17</v>
      </c>
      <c r="AD121" s="51">
        <v>119026.90360000005</v>
      </c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1"/>
      <c r="AR121" s="51"/>
      <c r="AS121" s="51"/>
      <c r="AT121" s="51"/>
      <c r="AU121" s="51"/>
      <c r="AV121" s="51"/>
      <c r="AW121" s="51"/>
      <c r="AX121" s="51"/>
      <c r="AY121" s="51"/>
      <c r="AZ121" s="51"/>
      <c r="BA121" s="51"/>
      <c r="BB121" s="51"/>
      <c r="BC121" s="51"/>
      <c r="BD121" s="51"/>
      <c r="BE121" s="51"/>
      <c r="BF121" s="51"/>
    </row>
    <row r="122" spans="2:58" s="14" customFormat="1" ht="12.75" customHeight="1" x14ac:dyDescent="0.25">
      <c r="B122" s="28"/>
      <c r="C122" s="23"/>
      <c r="D122" s="26" t="s">
        <v>82</v>
      </c>
      <c r="E122" s="21">
        <v>0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  <c r="Q122" s="27">
        <v>369136.08964903618</v>
      </c>
      <c r="R122" s="27">
        <v>304574.85035096772</v>
      </c>
      <c r="S122" s="27">
        <v>308446.43</v>
      </c>
      <c r="T122" s="27">
        <v>303102.28626044031</v>
      </c>
      <c r="U122" s="27">
        <v>410213.13226151292</v>
      </c>
      <c r="V122" s="27">
        <v>526824.66</v>
      </c>
      <c r="W122" s="27">
        <v>670561.18999999994</v>
      </c>
      <c r="X122" s="27">
        <v>1270660.92</v>
      </c>
      <c r="Y122" s="21">
        <v>745215.33</v>
      </c>
      <c r="Z122" s="21">
        <v>584805.36</v>
      </c>
      <c r="AA122" s="21">
        <v>1441629.0100000002</v>
      </c>
      <c r="AB122" s="21">
        <v>241863.69999999425</v>
      </c>
      <c r="AC122" s="51">
        <v>822019.61</v>
      </c>
      <c r="AD122" s="51">
        <v>22980.43</v>
      </c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1"/>
      <c r="AR122" s="51"/>
      <c r="AS122" s="51"/>
      <c r="AT122" s="51"/>
      <c r="AU122" s="51"/>
      <c r="AV122" s="51"/>
      <c r="AW122" s="51"/>
      <c r="AX122" s="51"/>
      <c r="AY122" s="51"/>
      <c r="AZ122" s="51"/>
      <c r="BA122" s="51"/>
      <c r="BB122" s="51"/>
      <c r="BC122" s="51"/>
      <c r="BD122" s="51"/>
      <c r="BE122" s="51"/>
      <c r="BF122" s="51"/>
    </row>
    <row r="123" spans="2:58" s="14" customFormat="1" ht="12.75" customHeight="1" x14ac:dyDescent="0.25">
      <c r="B123" s="28"/>
      <c r="C123" s="23"/>
      <c r="D123" s="26" t="s">
        <v>94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7"/>
      <c r="R123" s="27"/>
      <c r="S123" s="27"/>
      <c r="T123" s="27"/>
      <c r="U123" s="27"/>
      <c r="V123" s="27"/>
      <c r="W123" s="27"/>
      <c r="X123" s="27"/>
      <c r="Y123" s="21"/>
      <c r="Z123" s="21"/>
      <c r="AA123" s="21"/>
      <c r="AB123" s="21"/>
      <c r="AC123" s="51">
        <v>14629324.109999999</v>
      </c>
      <c r="AD123" s="51">
        <v>3686720.5742000001</v>
      </c>
      <c r="AE123" s="51">
        <v>63005497.389999993</v>
      </c>
      <c r="AF123" s="51">
        <v>14013330.630619997</v>
      </c>
      <c r="AG123" s="51">
        <v>98985359.180000007</v>
      </c>
      <c r="AH123" s="51">
        <v>20830412.57</v>
      </c>
      <c r="AI123" s="51">
        <v>10100803.99</v>
      </c>
      <c r="AJ123" s="51">
        <v>10432597.550000001</v>
      </c>
      <c r="AK123" s="51">
        <v>10785390.710000001</v>
      </c>
      <c r="AL123" s="51">
        <v>11133143.960000001</v>
      </c>
      <c r="AM123" s="51">
        <v>11457377.67</v>
      </c>
      <c r="AN123" s="51">
        <v>11759276.91</v>
      </c>
      <c r="AO123" s="51">
        <v>0</v>
      </c>
      <c r="AP123" s="51">
        <v>0</v>
      </c>
      <c r="AQ123" s="51">
        <v>0</v>
      </c>
      <c r="AR123" s="51">
        <v>0</v>
      </c>
      <c r="AS123" s="51">
        <v>0</v>
      </c>
      <c r="AT123" s="51">
        <v>65668590.790000007</v>
      </c>
      <c r="AU123" s="51">
        <v>2066052.6400000001</v>
      </c>
      <c r="AV123" s="51">
        <v>2123315.89</v>
      </c>
      <c r="AW123" s="51">
        <v>2184194.14</v>
      </c>
      <c r="AX123" s="51">
        <v>2243953.42</v>
      </c>
      <c r="AY123" s="51">
        <v>2297973.4500000007</v>
      </c>
      <c r="AZ123" s="51">
        <v>2346820.58</v>
      </c>
      <c r="BA123" s="51">
        <v>0</v>
      </c>
      <c r="BB123" s="51">
        <v>0</v>
      </c>
      <c r="BC123" s="51">
        <v>0</v>
      </c>
      <c r="BD123" s="51">
        <v>0</v>
      </c>
      <c r="BE123" s="51">
        <v>0</v>
      </c>
      <c r="BF123" s="51">
        <v>13262310.120000001</v>
      </c>
    </row>
    <row r="124" spans="2:58" s="14" customFormat="1" ht="12" customHeight="1" x14ac:dyDescent="0.25">
      <c r="B124" s="28"/>
      <c r="C124" s="23"/>
      <c r="D124" s="26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38"/>
      <c r="V124" s="38"/>
      <c r="W124" s="38"/>
      <c r="X124" s="38"/>
      <c r="Y124" s="21"/>
      <c r="Z124" s="21"/>
      <c r="AA124" s="21"/>
      <c r="AB124" s="2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1"/>
      <c r="AR124" s="51"/>
      <c r="AS124" s="51"/>
      <c r="AT124" s="51"/>
      <c r="AU124" s="51"/>
      <c r="AV124" s="51"/>
      <c r="AW124" s="51"/>
      <c r="AX124" s="51"/>
      <c r="AY124" s="51"/>
      <c r="AZ124" s="51"/>
      <c r="BA124" s="51"/>
      <c r="BB124" s="51"/>
      <c r="BC124" s="51"/>
      <c r="BD124" s="51"/>
      <c r="BE124" s="51"/>
      <c r="BF124" s="51"/>
    </row>
    <row r="125" spans="2:58" s="25" customFormat="1" ht="12" customHeight="1" x14ac:dyDescent="0.25">
      <c r="B125" s="29" t="s">
        <v>60</v>
      </c>
      <c r="C125" s="16"/>
      <c r="D125" s="17"/>
      <c r="E125" s="18">
        <f t="shared" ref="E125:AF125" si="28">+E62+E9</f>
        <v>524016268</v>
      </c>
      <c r="F125" s="19">
        <f t="shared" si="28"/>
        <v>246540349.19</v>
      </c>
      <c r="G125" s="18">
        <f t="shared" si="28"/>
        <v>659054109</v>
      </c>
      <c r="H125" s="19">
        <f t="shared" si="28"/>
        <v>216989632</v>
      </c>
      <c r="I125" s="18">
        <f t="shared" si="28"/>
        <v>730429264.98000002</v>
      </c>
      <c r="J125" s="19">
        <f t="shared" si="28"/>
        <v>252824057.92999998</v>
      </c>
      <c r="K125" s="18">
        <f t="shared" si="28"/>
        <v>823529239.76997566</v>
      </c>
      <c r="L125" s="19">
        <f t="shared" si="28"/>
        <v>273712365.12599194</v>
      </c>
      <c r="M125" s="18">
        <f t="shared" si="28"/>
        <v>887277265.07302165</v>
      </c>
      <c r="N125" s="19">
        <f t="shared" si="28"/>
        <v>297077891.12697953</v>
      </c>
      <c r="O125" s="18">
        <f t="shared" si="28"/>
        <v>995123556.32584357</v>
      </c>
      <c r="P125" s="19">
        <f t="shared" si="28"/>
        <v>280027065.95339358</v>
      </c>
      <c r="Q125" s="18">
        <f t="shared" si="28"/>
        <v>414254401.49382007</v>
      </c>
      <c r="R125" s="19">
        <f t="shared" si="28"/>
        <v>470478501.35209787</v>
      </c>
      <c r="S125" s="18">
        <f t="shared" si="28"/>
        <v>494177864.54048312</v>
      </c>
      <c r="T125" s="19">
        <f t="shared" si="28"/>
        <v>498833626.47063828</v>
      </c>
      <c r="U125" s="19">
        <f t="shared" si="28"/>
        <v>1696965727.634438</v>
      </c>
      <c r="V125" s="19">
        <f t="shared" si="28"/>
        <v>663357306.43196809</v>
      </c>
      <c r="W125" s="19">
        <f t="shared" si="28"/>
        <v>1123470917.6203055</v>
      </c>
      <c r="X125" s="19">
        <f t="shared" si="28"/>
        <v>1133843605.6003501</v>
      </c>
      <c r="Y125" s="19">
        <f t="shared" si="28"/>
        <v>1194062155.7311513</v>
      </c>
      <c r="Z125" s="19">
        <f t="shared" si="28"/>
        <v>1189516820.2940626</v>
      </c>
      <c r="AA125" s="19">
        <f t="shared" si="28"/>
        <v>1337158642.1179597</v>
      </c>
      <c r="AB125" s="19">
        <f t="shared" si="28"/>
        <v>2165399585.1900697</v>
      </c>
      <c r="AC125" s="19">
        <f t="shared" si="28"/>
        <v>8257321015.5591583</v>
      </c>
      <c r="AD125" s="19">
        <f t="shared" si="28"/>
        <v>2667953826.1232052</v>
      </c>
      <c r="AE125" s="19">
        <f t="shared" si="28"/>
        <v>1515325084.76121</v>
      </c>
      <c r="AF125" s="19">
        <f t="shared" si="28"/>
        <v>5642029226.4168329</v>
      </c>
      <c r="AG125" s="19">
        <f>+AG62+AG9</f>
        <v>5519049545.7428493</v>
      </c>
      <c r="AH125" s="19">
        <f>+AH62+AH9</f>
        <v>10095613241.689342</v>
      </c>
      <c r="AI125" s="19">
        <f t="shared" ref="AI125:BF125" si="29">+AI62+AI9</f>
        <v>893408348.26530004</v>
      </c>
      <c r="AJ125" s="19">
        <f t="shared" si="29"/>
        <v>588929870.8787303</v>
      </c>
      <c r="AK125" s="19">
        <f t="shared" si="29"/>
        <v>240152889.76843789</v>
      </c>
      <c r="AL125" s="19">
        <f t="shared" si="29"/>
        <v>781785569.49618816</v>
      </c>
      <c r="AM125" s="19">
        <f t="shared" si="29"/>
        <v>2544710658.112071</v>
      </c>
      <c r="AN125" s="19">
        <f t="shared" si="29"/>
        <v>144812094.32367951</v>
      </c>
      <c r="AO125" s="19">
        <f t="shared" si="29"/>
        <v>966312643.67780006</v>
      </c>
      <c r="AP125" s="19">
        <f t="shared" si="29"/>
        <v>591047595.71808708</v>
      </c>
      <c r="AQ125" s="19">
        <f t="shared" si="29"/>
        <v>345837631.9502182</v>
      </c>
      <c r="AR125" s="19">
        <f t="shared" si="29"/>
        <v>1042432675.0107999</v>
      </c>
      <c r="AS125" s="19">
        <f t="shared" si="29"/>
        <v>3134003429.75</v>
      </c>
      <c r="AT125" s="19">
        <f t="shared" si="29"/>
        <v>11273433435.978533</v>
      </c>
      <c r="AU125" s="19">
        <f t="shared" si="29"/>
        <v>1420468318.2744</v>
      </c>
      <c r="AV125" s="19">
        <f t="shared" si="29"/>
        <v>1321711719.7612698</v>
      </c>
      <c r="AW125" s="19">
        <f t="shared" si="29"/>
        <v>97940319.780760869</v>
      </c>
      <c r="AX125" s="19">
        <f t="shared" si="29"/>
        <v>367466590.69381011</v>
      </c>
      <c r="AY125" s="19">
        <f t="shared" si="29"/>
        <v>823467359.44726467</v>
      </c>
      <c r="AZ125" s="19">
        <f t="shared" si="29"/>
        <v>1849096329.1495187</v>
      </c>
      <c r="BA125" s="19">
        <f t="shared" si="29"/>
        <v>1565424995.8225999</v>
      </c>
      <c r="BB125" s="19">
        <f t="shared" si="29"/>
        <v>1480718142.8009527</v>
      </c>
      <c r="BC125" s="19">
        <f t="shared" si="29"/>
        <v>478911591.19293249</v>
      </c>
      <c r="BD125" s="19">
        <f t="shared" si="29"/>
        <v>481208598.6178</v>
      </c>
      <c r="BE125" s="19">
        <f t="shared" si="29"/>
        <v>837280233.4352001</v>
      </c>
      <c r="BF125" s="19">
        <f t="shared" si="29"/>
        <v>10723694357.846825</v>
      </c>
    </row>
    <row r="126" spans="2:58" ht="12" customHeight="1" thickBot="1" x14ac:dyDescent="0.3">
      <c r="B126" s="30"/>
      <c r="C126" s="31"/>
      <c r="D126" s="32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40"/>
      <c r="V126" s="40"/>
      <c r="W126" s="40"/>
      <c r="X126" s="40"/>
      <c r="Y126" s="44"/>
      <c r="Z126" s="44"/>
      <c r="AA126" s="44"/>
      <c r="AB126" s="44"/>
      <c r="AC126" s="52"/>
      <c r="AD126" s="52"/>
      <c r="AE126" s="52"/>
      <c r="AF126" s="52"/>
      <c r="AG126" s="52"/>
      <c r="AH126" s="52"/>
      <c r="AI126" s="52"/>
      <c r="AJ126" s="52"/>
      <c r="AK126" s="52"/>
      <c r="AL126" s="52"/>
      <c r="AM126" s="52"/>
      <c r="AN126" s="52"/>
      <c r="AO126" s="52"/>
      <c r="AP126" s="52"/>
      <c r="AQ126" s="52"/>
      <c r="AR126" s="52"/>
      <c r="AS126" s="52"/>
      <c r="AT126" s="52"/>
      <c r="AU126" s="52"/>
      <c r="AV126" s="52"/>
      <c r="AW126" s="52"/>
      <c r="AX126" s="52"/>
      <c r="AY126" s="52"/>
      <c r="AZ126" s="52"/>
      <c r="BA126" s="52"/>
      <c r="BB126" s="52"/>
      <c r="BC126" s="52"/>
      <c r="BD126" s="52"/>
      <c r="BE126" s="52"/>
      <c r="BF126" s="57"/>
    </row>
    <row r="127" spans="2:58" x14ac:dyDescent="0.25">
      <c r="E127" s="34"/>
      <c r="F127" s="34"/>
      <c r="G127" s="34"/>
      <c r="H127" s="34"/>
      <c r="I127" s="34"/>
      <c r="J127" s="34"/>
    </row>
    <row r="128" spans="2:58" x14ac:dyDescent="0.25">
      <c r="C128" s="36" t="s">
        <v>65</v>
      </c>
      <c r="E128" s="34"/>
      <c r="F128" s="34"/>
      <c r="G128" s="34"/>
      <c r="H128" s="34"/>
      <c r="I128" s="34"/>
      <c r="J128" s="34"/>
      <c r="AA128" s="47"/>
      <c r="AC128" s="47"/>
      <c r="AE128" s="53"/>
      <c r="AG128" s="53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7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7"/>
    </row>
    <row r="129" spans="4:58" x14ac:dyDescent="0.25">
      <c r="D129" s="41" t="s">
        <v>133</v>
      </c>
      <c r="E129" s="34"/>
      <c r="F129" s="34"/>
      <c r="G129" s="34"/>
      <c r="H129" s="34"/>
      <c r="I129" s="34"/>
      <c r="J129" s="34"/>
      <c r="S129" s="37"/>
      <c r="T129" s="37"/>
      <c r="AA129" s="47"/>
      <c r="AB129" s="47"/>
      <c r="AC129" s="47"/>
      <c r="AD129" s="47"/>
      <c r="AE129" s="53"/>
      <c r="AF129" s="53"/>
      <c r="AG129" s="53"/>
      <c r="AH129" s="53"/>
      <c r="AI129" s="47"/>
      <c r="AJ129" s="47"/>
      <c r="AK129" s="47"/>
      <c r="AL129" s="47"/>
      <c r="AM129" s="47"/>
      <c r="AN129" s="47"/>
      <c r="AO129" s="47"/>
      <c r="AP129" s="47"/>
      <c r="AQ129" s="47"/>
      <c r="AR129" s="47"/>
      <c r="AS129" s="47"/>
      <c r="AT129" s="47"/>
      <c r="AU129" s="47"/>
      <c r="AV129" s="47"/>
      <c r="AW129" s="47"/>
      <c r="AX129" s="47"/>
      <c r="AY129" s="47"/>
      <c r="AZ129" s="47"/>
      <c r="BA129" s="47"/>
      <c r="BB129" s="47"/>
      <c r="BC129" s="47"/>
      <c r="BD129" s="47"/>
      <c r="BE129" s="47"/>
      <c r="BF129" s="47"/>
    </row>
    <row r="130" spans="4:58" x14ac:dyDescent="0.25">
      <c r="E130" s="34"/>
      <c r="F130" s="34"/>
      <c r="G130" s="34"/>
      <c r="H130" s="34"/>
      <c r="I130" s="34"/>
      <c r="J130" s="34"/>
    </row>
    <row r="131" spans="4:58" x14ac:dyDescent="0.25">
      <c r="E131" s="34"/>
      <c r="F131" s="34"/>
      <c r="G131" s="34"/>
      <c r="H131" s="34"/>
      <c r="I131" s="34"/>
      <c r="J131" s="34"/>
    </row>
    <row r="132" spans="4:58" x14ac:dyDescent="0.25">
      <c r="E132" s="34"/>
      <c r="F132" s="34"/>
      <c r="G132" s="34"/>
      <c r="H132" s="34"/>
      <c r="I132" s="34"/>
      <c r="J132" s="34"/>
    </row>
    <row r="133" spans="4:58" x14ac:dyDescent="0.25">
      <c r="E133" s="34"/>
      <c r="F133" s="34"/>
      <c r="G133" s="34"/>
      <c r="H133" s="34"/>
      <c r="I133" s="34"/>
      <c r="J133" s="34"/>
    </row>
    <row r="134" spans="4:58" x14ac:dyDescent="0.25">
      <c r="E134" s="34"/>
      <c r="F134" s="34"/>
      <c r="G134" s="34"/>
      <c r="H134" s="34"/>
      <c r="I134" s="34"/>
      <c r="J134" s="34"/>
    </row>
    <row r="135" spans="4:58" x14ac:dyDescent="0.25">
      <c r="E135" s="34"/>
      <c r="F135" s="34"/>
      <c r="G135" s="34"/>
      <c r="H135" s="34"/>
      <c r="I135" s="34"/>
      <c r="J135" s="34"/>
    </row>
    <row r="136" spans="4:58" x14ac:dyDescent="0.25">
      <c r="E136" s="34"/>
      <c r="F136" s="34"/>
      <c r="G136" s="34"/>
      <c r="H136" s="34"/>
      <c r="I136" s="34"/>
      <c r="J136" s="34"/>
    </row>
    <row r="137" spans="4:58" x14ac:dyDescent="0.25">
      <c r="E137" s="34"/>
      <c r="F137" s="34"/>
      <c r="G137" s="34"/>
      <c r="H137" s="34"/>
      <c r="I137" s="34"/>
      <c r="J137" s="34"/>
    </row>
    <row r="138" spans="4:58" x14ac:dyDescent="0.25">
      <c r="E138" s="34"/>
      <c r="F138" s="34"/>
      <c r="G138" s="34"/>
      <c r="H138" s="34"/>
      <c r="I138" s="34"/>
      <c r="J138" s="34"/>
    </row>
    <row r="139" spans="4:58" x14ac:dyDescent="0.25">
      <c r="E139" s="34"/>
      <c r="F139" s="34"/>
      <c r="G139" s="34"/>
      <c r="H139" s="34"/>
      <c r="I139" s="34"/>
      <c r="J139" s="34"/>
    </row>
    <row r="140" spans="4:58" x14ac:dyDescent="0.25">
      <c r="E140" s="34"/>
      <c r="F140" s="34"/>
      <c r="G140" s="34"/>
      <c r="H140" s="34"/>
      <c r="I140" s="34"/>
      <c r="J140" s="34"/>
    </row>
    <row r="141" spans="4:58" x14ac:dyDescent="0.25">
      <c r="E141" s="34"/>
      <c r="F141" s="34"/>
      <c r="G141" s="34"/>
      <c r="H141" s="34"/>
      <c r="I141" s="34"/>
      <c r="J141" s="34"/>
    </row>
  </sheetData>
  <mergeCells count="17">
    <mergeCell ref="B7:D7"/>
    <mergeCell ref="E6:F6"/>
    <mergeCell ref="G6:H6"/>
    <mergeCell ref="I6:J6"/>
    <mergeCell ref="K6:L6"/>
    <mergeCell ref="AG6:AH6"/>
    <mergeCell ref="AI6:BF6"/>
    <mergeCell ref="AE6:AF6"/>
    <mergeCell ref="AC6:AD6"/>
    <mergeCell ref="M6:N6"/>
    <mergeCell ref="AA6:AB6"/>
    <mergeCell ref="O6:P6"/>
    <mergeCell ref="Y6:Z6"/>
    <mergeCell ref="W6:X6"/>
    <mergeCell ref="U6:V6"/>
    <mergeCell ref="S6:T6"/>
    <mergeCell ref="Q6:R6"/>
  </mergeCells>
  <phoneticPr fontId="0" type="noConversion"/>
  <printOptions horizontalCentered="1"/>
  <pageMargins left="0.27559055118110237" right="0.47244094488188981" top="0.47244094488188981" bottom="0.15748031496062992" header="0.59055118110236227" footer="0"/>
  <pageSetup paperSize="9" scale="27" orientation="landscape" horizontalDpi="300" verticalDpi="300" r:id="rId1"/>
  <headerFooter alignWithMargins="0"/>
  <ignoredErrors>
    <ignoredError sqref="S119:T119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Servicios Pagados</vt:lpstr>
      <vt:lpstr>'Servicios Pagados'!Área_de_impresión</vt:lpstr>
      <vt:lpstr>'Servicios Pagados'!Títulos_a_imprimir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d30474752</dc:creator>
  <cp:lastModifiedBy>Hiromi Maria Tamashiro</cp:lastModifiedBy>
  <cp:lastPrinted>2017-06-07T14:50:25Z</cp:lastPrinted>
  <dcterms:created xsi:type="dcterms:W3CDTF">2011-05-10T16:36:08Z</dcterms:created>
  <dcterms:modified xsi:type="dcterms:W3CDTF">2021-01-05T16:21:40Z</dcterms:modified>
</cp:coreProperties>
</file>