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Abril\"/>
    </mc:Choice>
  </mc:AlternateContent>
  <bookViews>
    <workbookView xWindow="-120" yWindow="-120" windowWidth="20730" windowHeight="1116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Pagados'!$B$1:$AT$127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Pagados'!$D$1:$D$124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23" i="4" l="1"/>
  <c r="AS123" i="4"/>
  <c r="AR123" i="4" l="1"/>
  <c r="AL123" i="4"/>
  <c r="AQ60" i="4" l="1"/>
  <c r="AQ117" i="4"/>
  <c r="AQ106" i="4"/>
  <c r="AQ62" i="4"/>
  <c r="AQ26" i="4"/>
  <c r="AQ9" i="4" s="1"/>
  <c r="AQ16" i="4"/>
  <c r="AK117" i="4"/>
  <c r="AK60" i="4" s="1"/>
  <c r="AK9" i="4"/>
  <c r="AK123" i="4" l="1"/>
  <c r="AQ123" i="4"/>
  <c r="AJ123" i="4" l="1"/>
  <c r="AP123" i="4"/>
  <c r="AT123" i="4" l="1"/>
  <c r="AO123" i="4"/>
  <c r="AN123" i="4"/>
  <c r="AI123" i="4"/>
  <c r="AG123" i="4" l="1"/>
  <c r="Y62" i="4" l="1"/>
  <c r="AF123" i="4" l="1"/>
  <c r="AE123" i="4"/>
  <c r="AH123" i="4" l="1"/>
  <c r="AD123" i="4" l="1"/>
  <c r="AC123" i="4"/>
  <c r="AB117" i="4" l="1"/>
  <c r="AB106" i="4"/>
  <c r="AB93" i="4"/>
  <c r="AB62" i="4"/>
  <c r="AB54" i="4"/>
  <c r="AB50" i="4"/>
  <c r="AB26" i="4"/>
  <c r="AB23" i="4"/>
  <c r="AB16" i="4"/>
  <c r="AB11" i="4"/>
  <c r="AA117" i="4"/>
  <c r="AA106" i="4"/>
  <c r="AA93" i="4"/>
  <c r="AA62" i="4"/>
  <c r="AA54" i="4"/>
  <c r="AA50" i="4"/>
  <c r="AA26" i="4"/>
  <c r="AA23" i="4"/>
  <c r="AA16" i="4"/>
  <c r="AA11" i="4"/>
  <c r="AA9" i="4" l="1"/>
  <c r="AA60" i="4" l="1"/>
  <c r="AA123" i="4" s="1"/>
  <c r="AB60" i="4" l="1"/>
  <c r="AB9" i="4"/>
  <c r="AB123" i="4" l="1"/>
  <c r="Y26" i="4"/>
  <c r="Z11" i="4"/>
  <c r="Y11" i="4"/>
  <c r="Z117" i="4"/>
  <c r="Y117" i="4"/>
  <c r="W117" i="4"/>
  <c r="E11" i="4"/>
  <c r="F11" i="4"/>
  <c r="G11" i="4"/>
  <c r="I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H12" i="4"/>
  <c r="H11" i="4" s="1"/>
  <c r="J12" i="4"/>
  <c r="J11" i="4" s="1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E18" i="4"/>
  <c r="E16" i="4" s="1"/>
  <c r="F18" i="4"/>
  <c r="G18" i="4"/>
  <c r="G16" i="4" s="1"/>
  <c r="H18" i="4"/>
  <c r="H16" i="4" s="1"/>
  <c r="I18" i="4"/>
  <c r="I16" i="4" s="1"/>
  <c r="J18" i="4"/>
  <c r="F21" i="4"/>
  <c r="H21" i="4"/>
  <c r="J21" i="4"/>
  <c r="O23" i="4"/>
  <c r="P23" i="4"/>
  <c r="Q23" i="4"/>
  <c r="R23" i="4"/>
  <c r="S23" i="4"/>
  <c r="T23" i="4"/>
  <c r="U23" i="4"/>
  <c r="V23" i="4"/>
  <c r="W23" i="4"/>
  <c r="X23" i="4"/>
  <c r="Y23" i="4"/>
  <c r="Z23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Z26" i="4"/>
  <c r="F27" i="4"/>
  <c r="H27" i="4"/>
  <c r="J27" i="4"/>
  <c r="F28" i="4"/>
  <c r="F26" i="4" s="1"/>
  <c r="H28" i="4"/>
  <c r="J28" i="4"/>
  <c r="E29" i="4"/>
  <c r="F29" i="4"/>
  <c r="F38" i="4"/>
  <c r="H38" i="4"/>
  <c r="J38" i="4"/>
  <c r="E42" i="4"/>
  <c r="F42" i="4"/>
  <c r="G42" i="4"/>
  <c r="G26" i="4" s="1"/>
  <c r="H42" i="4"/>
  <c r="I42" i="4"/>
  <c r="I26" i="4" s="1"/>
  <c r="J42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E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Z62" i="4"/>
  <c r="F65" i="4"/>
  <c r="H65" i="4"/>
  <c r="J65" i="4"/>
  <c r="F66" i="4"/>
  <c r="H66" i="4"/>
  <c r="J66" i="4"/>
  <c r="F67" i="4"/>
  <c r="H67" i="4"/>
  <c r="J67" i="4"/>
  <c r="F68" i="4"/>
  <c r="F74" i="4"/>
  <c r="H74" i="4"/>
  <c r="J74" i="4"/>
  <c r="F75" i="4"/>
  <c r="H75" i="4"/>
  <c r="I75" i="4"/>
  <c r="I62" i="4" s="1"/>
  <c r="J75" i="4"/>
  <c r="F76" i="4"/>
  <c r="G76" i="4"/>
  <c r="H76" i="4"/>
  <c r="F77" i="4"/>
  <c r="G77" i="4"/>
  <c r="H77" i="4"/>
  <c r="F78" i="4"/>
  <c r="H78" i="4"/>
  <c r="E93" i="4"/>
  <c r="G93" i="4"/>
  <c r="I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F99" i="4"/>
  <c r="F93" i="4" s="1"/>
  <c r="H99" i="4"/>
  <c r="H93" i="4" s="1"/>
  <c r="J99" i="4"/>
  <c r="J93" i="4" s="1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X117" i="4"/>
  <c r="S60" i="4" l="1"/>
  <c r="O60" i="4"/>
  <c r="J62" i="4"/>
  <c r="J60" i="4" s="1"/>
  <c r="Y60" i="4"/>
  <c r="W60" i="4"/>
  <c r="K60" i="4"/>
  <c r="U9" i="4"/>
  <c r="G62" i="4"/>
  <c r="G60" i="4" s="1"/>
  <c r="Y9" i="4"/>
  <c r="Q9" i="4"/>
  <c r="M9" i="4"/>
  <c r="H26" i="4"/>
  <c r="H9" i="4" s="1"/>
  <c r="X9" i="4"/>
  <c r="P9" i="4"/>
  <c r="V60" i="4"/>
  <c r="N60" i="4"/>
  <c r="H62" i="4"/>
  <c r="H60" i="4" s="1"/>
  <c r="T9" i="4"/>
  <c r="L9" i="4"/>
  <c r="R60" i="4"/>
  <c r="F16" i="4"/>
  <c r="F9" i="4" s="1"/>
  <c r="E26" i="4"/>
  <c r="E9" i="4" s="1"/>
  <c r="J16" i="4"/>
  <c r="Z60" i="4"/>
  <c r="X60" i="4"/>
  <c r="T60" i="4"/>
  <c r="P60" i="4"/>
  <c r="L60" i="4"/>
  <c r="E60" i="4"/>
  <c r="I60" i="4"/>
  <c r="F62" i="4"/>
  <c r="F60" i="4" s="1"/>
  <c r="U60" i="4"/>
  <c r="Q60" i="4"/>
  <c r="M60" i="4"/>
  <c r="J26" i="4"/>
  <c r="N9" i="4"/>
  <c r="Z9" i="4"/>
  <c r="V9" i="4"/>
  <c r="R9" i="4"/>
  <c r="W9" i="4"/>
  <c r="S9" i="4"/>
  <c r="O9" i="4"/>
  <c r="K9" i="4"/>
  <c r="G9" i="4"/>
  <c r="I9" i="4"/>
  <c r="K123" i="4" l="1"/>
  <c r="S123" i="4"/>
  <c r="O123" i="4"/>
  <c r="W123" i="4"/>
  <c r="U123" i="4"/>
  <c r="V123" i="4"/>
  <c r="M123" i="4"/>
  <c r="N123" i="4"/>
  <c r="P123" i="4"/>
  <c r="I123" i="4"/>
  <c r="X123" i="4"/>
  <c r="R123" i="4"/>
  <c r="Y123" i="4"/>
  <c r="H123" i="4"/>
  <c r="J9" i="4"/>
  <c r="J123" i="4" s="1"/>
  <c r="L123" i="4"/>
  <c r="Q123" i="4"/>
  <c r="G123" i="4"/>
  <c r="T123" i="4"/>
  <c r="E123" i="4"/>
  <c r="F123" i="4"/>
  <c r="Z123" i="4"/>
</calcChain>
</file>

<file path=xl/comments1.xml><?xml version="1.0" encoding="utf-8"?>
<comments xmlns="http://schemas.openxmlformats.org/spreadsheetml/2006/main">
  <authors>
    <author>D30474752</author>
  </authors>
  <commentList>
    <comment ref="D82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<sst xmlns="http://schemas.openxmlformats.org/spreadsheetml/2006/main" count="149" uniqueCount="122">
  <si>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</si>
  <si>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</si>
  <si>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</si>
  <si>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</si>
  <si>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</si>
  <si>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</si>
  <si>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</si>
  <si>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</si>
  <si>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</si>
  <si>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</si>
  <si>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</si>
  <si>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</si>
  <si>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</si>
  <si>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</si>
  <si>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</si>
  <si>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</si>
  <si>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</si>
  <si>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</si>
  <si>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</si>
  <si>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</si>
  <si>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</si>
  <si>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</si>
  <si>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</si>
  <si>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</si>
  <si>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</si>
  <si>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</si>
  <si>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</si>
  <si>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</si>
  <si>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</si>
  <si>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</si>
  <si>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</si>
  <si>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</si>
  <si>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</si>
  <si>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Financiamiento Ordenado 2002 - Ley 9038</t>
  </si>
  <si>
    <t>Programa de Financiamiento Ordenado 2003 - Ley 9093</t>
  </si>
  <si>
    <t>Programa de Financiamiento Ordenado 2004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</si>
  <si>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</si>
  <si>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</si>
  <si>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</si>
  <si>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</si>
  <si>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</si>
  <si>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</si>
  <si>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</si>
  <si>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</si>
  <si>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</si>
  <si>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1.6. Varios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</si>
  <si>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</si>
  <si>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</si>
  <si>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</si>
  <si>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</si>
  <si>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</si>
  <si>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</si>
  <si>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3280/AR</t>
  </si>
  <si>
    <t>BIRF 3877/AR</t>
  </si>
  <si>
    <t>BIRF 4093/AR (Caminos Provinciales)</t>
  </si>
  <si>
    <t>BIRF 4273/AR (El Niño)</t>
  </si>
  <si>
    <t>BIRF 4585/AR</t>
  </si>
  <si>
    <t>BIRF 7352</t>
  </si>
  <si>
    <t>BIRF 2920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</si>
  <si>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</si>
  <si>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</si>
  <si>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</si>
  <si>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</si>
  <si>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</si>
  <si>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</si>
  <si>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</si>
  <si>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</si>
  <si>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</si>
  <si>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</si>
  <si>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</si>
  <si>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</si>
  <si>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</si>
  <si>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</si>
  <si>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</si>
  <si>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</si>
  <si>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</si>
  <si>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</si>
  <si>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</si>
  <si>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</si>
  <si>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</si>
  <si>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</si>
  <si>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</si>
  <si>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</si>
  <si>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</si>
  <si>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</si>
  <si>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</si>
  <si>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</si>
  <si>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</si>
  <si>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</si>
  <si>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</si>
  <si>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</si>
  <si>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</si>
  <si>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PFD</t>
  </si>
  <si>
    <t>Título Internacional al 7,125% con vencimiento 2027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</si>
  <si>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</si>
  <si>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</si>
  <si>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</si>
  <si>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</si>
  <si>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</si>
  <si>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</si>
  <si>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</si>
  <si>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</si>
  <si>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ENERO</t>
  </si>
  <si>
    <t>Amortización ACUMULADA</t>
  </si>
  <si>
    <t>Interés (*) ENERO</t>
  </si>
  <si>
    <t>Interés (*) ACUMULADO</t>
  </si>
  <si>
    <t>BID 1134/OC-AR BID 940</t>
  </si>
  <si>
    <t>OFID</t>
  </si>
  <si>
    <t>FONDO KUWAITI</t>
  </si>
  <si>
    <t>2.2. Bancos Extranjeros y Otros Organismos</t>
  </si>
  <si>
    <t xml:space="preserve">Servicios de Deuda Pagados año 2005 a 2020 - Consolidado </t>
  </si>
  <si>
    <t>Amortización FEBRERO</t>
  </si>
  <si>
    <t>Interés (*) FEBRERO</t>
  </si>
  <si>
    <t>Crédito ARSET I 0072</t>
  </si>
  <si>
    <t>Interés (*) MARZO</t>
  </si>
  <si>
    <t>Amortización MARZO</t>
  </si>
  <si>
    <t>DEUTSCHE BANK- MATERNIDAD</t>
  </si>
  <si>
    <t>Interés (*) ABRIL</t>
  </si>
  <si>
    <t>Amortización ABRIL</t>
  </si>
  <si>
    <t>Amortización MAYO</t>
  </si>
  <si>
    <t>Interés (*) MAYO</t>
  </si>
  <si>
    <t>(**) Pagado a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</si>
</sst>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7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7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20" fillId="0" borderId="0" xfId="0" applyNumberFormat="1" applyFont="1" applyFill="1"/>
    <xf numFmtId="49" fontId="20" fillId="0" borderId="0" xfId="0" applyNumberFormat="1" applyFont="1" applyFill="1"/>
    <xf numFmtId="4" fontId="18" fillId="0" borderId="0" xfId="0" applyNumberFormat="1" applyFont="1" applyFill="1"/>
    <xf numFmtId="4" fontId="24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6" fillId="0" borderId="0" xfId="0" applyFont="1" applyFill="1"/>
    <xf numFmtId="0" fontId="36" fillId="0" borderId="14" xfId="0" applyFont="1" applyFill="1" applyBorder="1" applyAlignment="1">
      <alignment wrapText="1"/>
    </xf>
    <xf numFmtId="4" fontId="37" fillId="0" borderId="21" xfId="0" applyNumberFormat="1" applyFont="1" applyFill="1" applyBorder="1" applyAlignment="1">
      <alignment vertical="center"/>
    </xf>
    <xf numFmtId="4" fontId="37" fillId="0" borderId="0" xfId="0" applyNumberFormat="1" applyFont="1" applyFill="1"/>
    <xf numFmtId="1" fontId="38" fillId="24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4" fontId="39" fillId="0" borderId="0" xfId="0" applyNumberFormat="1" applyFont="1" applyFill="1" applyAlignment="1">
      <alignment horizontal="right"/>
    </xf>
    <xf numFmtId="0" fontId="36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7" fillId="25" borderId="21" xfId="0" applyNumberFormat="1" applyFont="1" applyFill="1" applyBorder="1" applyAlignment="1">
      <alignment vertical="center"/>
    </xf>
    <xf numFmtId="4" fontId="39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0" fontId="36" fillId="25" borderId="17" xfId="0" applyFont="1" applyFill="1" applyBorder="1" applyAlignment="1">
      <alignment wrapText="1"/>
    </xf>
    <xf numFmtId="4" fontId="20" fillId="0" borderId="21" xfId="0" applyNumberFormat="1" applyFont="1" applyFill="1" applyBorder="1"/>
    <xf numFmtId="3" fontId="24" fillId="24" borderId="22" xfId="0" applyNumberFormat="1" applyFont="1" applyFill="1" applyBorder="1" applyAlignment="1">
      <alignment horizontal="center" vertical="center"/>
    </xf>
    <xf numFmtId="3" fontId="24" fillId="24" borderId="24" xfId="0" applyNumberFormat="1" applyFont="1" applyFill="1" applyBorder="1" applyAlignment="1">
      <alignment horizontal="center" vertical="center"/>
    </xf>
    <xf numFmtId="3" fontId="24" fillId="24" borderId="23" xfId="0" applyNumberFormat="1" applyFont="1" applyFill="1" applyBorder="1" applyAlignment="1">
      <alignment horizontal="center" vertical="center"/>
    </xf>
    <xf numFmtId="3" fontId="24" fillId="24" borderId="22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3" fontId="38" fillId="24" borderId="23" xfId="0" applyNumberFormat="1" applyFont="1" applyFill="1" applyBorder="1" applyAlignment="1">
      <alignment horizontal="center"/>
    </xf>
    <xf numFmtId="3" fontId="38" fillId="24" borderId="22" xfId="0" applyNumberFormat="1" applyFont="1" applyFill="1" applyBorder="1" applyAlignment="1">
      <alignment horizontal="center"/>
    </xf>
    <xf numFmtId="4" fontId="39" fillId="25" borderId="0" xfId="0" applyNumberFormat="1" applyFont="1" applyFill="1" applyAlignment="1">
      <alignment horizontal="right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333375</xdr:colOff>
      <xdr:row>1</xdr:row>
      <xdr:rowOff>38100</xdr:rowOff>
    </xdr:from>
    <xdr:to>
      <xdr:col>45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T139"/>
  <sheetViews>
    <sheetView showGridLines="0" tabSelected="1" view="pageBreakPreview" zoomScaleNormal="100" zoomScaleSheetLayoutView="100" workbookViewId="0">
      <pane xSplit="4" ySplit="8" topLeftCell="AI9" activePane="bottomRight" state="frozen"/>
      <selection activeCell="B65" sqref="B65"/>
      <selection pane="topRight" activeCell="B65" sqref="B65"/>
      <selection pane="bottomLeft" activeCell="B65" sqref="B65"/>
      <selection pane="bottomRight" activeCell="AI7" sqref="AI7"/>
    </sheetView>
  </sheetViews>
  <sheetFormatPr baseColWidth="10" defaultColWidth="10.7109375" defaultRowHeight="11.25" outlineLevelRow="2" x14ac:dyDescent="0.2"/>
  <cols>
    <col min="1" max="1" width="11.42578125" style="6" customWidth="1"/>
    <col min="2" max="2" width="0.85546875" style="6" customWidth="1"/>
    <col min="3" max="3" width="1.5703125" style="6" customWidth="1"/>
    <col min="4" max="4" width="54.7109375" style="35" customWidth="1"/>
    <col min="5" max="6" width="15.28515625" style="6" customWidth="1"/>
    <col min="7" max="8" width="15" style="6" customWidth="1"/>
    <col min="9" max="10" width="13.5703125" style="6" customWidth="1"/>
    <col min="11" max="12" width="14.42578125" style="6" customWidth="1"/>
    <col min="13" max="13" width="13.28515625" style="6" customWidth="1"/>
    <col min="14" max="14" width="13.7109375" style="6" customWidth="1"/>
    <col min="15" max="16" width="13.5703125" style="6" customWidth="1"/>
    <col min="17" max="17" width="12.42578125" style="6" customWidth="1"/>
    <col min="18" max="18" width="14" style="6" customWidth="1"/>
    <col min="19" max="20" width="13.5703125" style="6" customWidth="1"/>
    <col min="21" max="21" width="17.7109375" style="6" customWidth="1"/>
    <col min="22" max="22" width="14.28515625" style="6" customWidth="1"/>
    <col min="23" max="23" width="15.5703125" style="6" customWidth="1"/>
    <col min="24" max="24" width="16.7109375" style="6" customWidth="1"/>
    <col min="25" max="25" width="15.5703125" style="45" customWidth="1"/>
    <col min="26" max="26" width="16.7109375" style="45" customWidth="1"/>
    <col min="27" max="27" width="15.42578125" style="6" customWidth="1"/>
    <col min="28" max="28" width="16.85546875" style="6" customWidth="1"/>
    <col min="29" max="29" width="15.42578125" style="6" customWidth="1"/>
    <col min="30" max="30" width="16.85546875" style="6" customWidth="1"/>
    <col min="31" max="31" width="15.42578125" style="6" customWidth="1"/>
    <col min="32" max="32" width="16.85546875" style="6" customWidth="1"/>
    <col min="33" max="34" width="15.42578125" style="6" customWidth="1"/>
    <col min="35" max="35" width="16.85546875" style="6" bestFit="1" customWidth="1"/>
    <col min="36" max="36" width="18.7109375" style="6" bestFit="1" customWidth="1"/>
    <col min="37" max="39" width="18.7109375" style="6" customWidth="1"/>
    <col min="40" max="40" width="22.140625" style="6" bestFit="1" customWidth="1"/>
    <col min="41" max="45" width="22.140625" style="6" customWidth="1"/>
    <col min="46" max="46" width="19.42578125" style="6" bestFit="1" customWidth="1"/>
    <col min="47" max="16384" width="10.7109375" style="6"/>
  </cols>
  <sheetData>
    <row r="1" spans="2:46" s="3" customFormat="1" ht="18.75" customHeight="1" x14ac:dyDescent="0.25">
      <c r="B1" s="2"/>
      <c r="D1" s="1" t="s">
        <v>18</v>
      </c>
      <c r="E1" s="4"/>
      <c r="F1" s="4"/>
      <c r="G1" s="4"/>
      <c r="H1" s="4"/>
      <c r="I1" s="4"/>
      <c r="J1" s="4"/>
      <c r="Y1" s="42"/>
      <c r="Z1" s="42"/>
    </row>
    <row r="2" spans="2:46" s="3" customFormat="1" ht="18.75" customHeight="1" x14ac:dyDescent="0.25">
      <c r="B2" s="2"/>
      <c r="D2" s="1" t="s">
        <v>19</v>
      </c>
      <c r="E2" s="4"/>
      <c r="F2" s="4"/>
      <c r="G2" s="4"/>
      <c r="H2" s="4"/>
      <c r="I2" s="4"/>
      <c r="J2" s="4"/>
      <c r="Y2" s="42"/>
      <c r="Z2" s="42"/>
    </row>
    <row r="3" spans="2:46" s="3" customFormat="1" ht="18.75" customHeight="1" x14ac:dyDescent="0.25">
      <c r="B3" s="2"/>
      <c r="D3" s="1" t="s">
        <v>20</v>
      </c>
      <c r="E3" s="4"/>
      <c r="F3" s="4"/>
      <c r="G3" s="4"/>
      <c r="H3" s="4"/>
      <c r="I3" s="4"/>
      <c r="J3" s="4"/>
      <c r="Y3" s="42"/>
      <c r="Z3" s="42"/>
    </row>
    <row r="4" spans="2:46" s="3" customFormat="1" ht="18.75" customHeight="1" x14ac:dyDescent="0.3">
      <c r="B4" s="2"/>
      <c r="D4" s="5" t="s">
        <v>110</v>
      </c>
      <c r="E4" s="4"/>
      <c r="F4" s="4"/>
      <c r="G4" s="4"/>
      <c r="H4" s="4"/>
      <c r="I4" s="4"/>
      <c r="J4" s="4"/>
      <c r="Y4" s="42"/>
      <c r="Z4" s="42"/>
    </row>
    <row r="5" spans="2:46" s="3" customFormat="1" ht="18.75" customHeight="1" thickBot="1" x14ac:dyDescent="0.35">
      <c r="B5" s="2"/>
      <c r="D5" s="5"/>
      <c r="E5" s="4"/>
      <c r="F5" s="4"/>
      <c r="G5" s="4"/>
      <c r="H5" s="4"/>
      <c r="I5" s="4"/>
      <c r="J5" s="4"/>
      <c r="Y5" s="42"/>
      <c r="Z5" s="42"/>
    </row>
    <row r="6" spans="2:46" ht="13.5" customHeight="1" thickBot="1" x14ac:dyDescent="0.25">
      <c r="D6" s="7"/>
      <c r="E6" s="61">
        <v>2005</v>
      </c>
      <c r="F6" s="62"/>
      <c r="G6" s="61">
        <v>2006</v>
      </c>
      <c r="H6" s="62"/>
      <c r="I6" s="61">
        <v>2007</v>
      </c>
      <c r="J6" s="62"/>
      <c r="K6" s="61">
        <v>2008</v>
      </c>
      <c r="L6" s="62"/>
      <c r="M6" s="61">
        <v>2009</v>
      </c>
      <c r="N6" s="62"/>
      <c r="O6" s="61">
        <v>2010</v>
      </c>
      <c r="P6" s="62"/>
      <c r="Q6" s="61">
        <v>2011</v>
      </c>
      <c r="R6" s="62"/>
      <c r="S6" s="61">
        <v>2012</v>
      </c>
      <c r="T6" s="62"/>
      <c r="U6" s="61">
        <v>2013</v>
      </c>
      <c r="V6" s="62"/>
      <c r="W6" s="61">
        <v>2014</v>
      </c>
      <c r="X6" s="62"/>
      <c r="Y6" s="65">
        <v>2015</v>
      </c>
      <c r="Z6" s="64"/>
      <c r="AA6" s="61">
        <v>2016</v>
      </c>
      <c r="AB6" s="64"/>
      <c r="AC6" s="61">
        <v>2017</v>
      </c>
      <c r="AD6" s="64"/>
      <c r="AE6" s="61">
        <v>2018</v>
      </c>
      <c r="AF6" s="64"/>
      <c r="AG6" s="61">
        <v>2019</v>
      </c>
      <c r="AH6" s="63"/>
      <c r="AI6" s="63">
        <v>2020</v>
      </c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2:46" s="9" customFormat="1" ht="12" thickBot="1" x14ac:dyDescent="0.25">
      <c r="B7" s="58" t="s">
        <v>21</v>
      </c>
      <c r="C7" s="59"/>
      <c r="D7" s="60"/>
      <c r="E7" s="8" t="s">
        <v>22</v>
      </c>
      <c r="F7" s="8" t="s">
        <v>23</v>
      </c>
      <c r="G7" s="8" t="s">
        <v>22</v>
      </c>
      <c r="H7" s="8" t="s">
        <v>23</v>
      </c>
      <c r="I7" s="8" t="s">
        <v>22</v>
      </c>
      <c r="J7" s="8" t="s">
        <v>23</v>
      </c>
      <c r="K7" s="8" t="s">
        <v>22</v>
      </c>
      <c r="L7" s="8" t="s">
        <v>23</v>
      </c>
      <c r="M7" s="8" t="s">
        <v>22</v>
      </c>
      <c r="N7" s="8" t="s">
        <v>23</v>
      </c>
      <c r="O7" s="8" t="s">
        <v>22</v>
      </c>
      <c r="P7" s="8" t="s">
        <v>23</v>
      </c>
      <c r="Q7" s="8" t="s">
        <v>22</v>
      </c>
      <c r="R7" s="8" t="s">
        <v>23</v>
      </c>
      <c r="S7" s="8" t="s">
        <v>22</v>
      </c>
      <c r="T7" s="8" t="s">
        <v>65</v>
      </c>
      <c r="U7" s="8" t="s">
        <v>22</v>
      </c>
      <c r="V7" s="8" t="s">
        <v>65</v>
      </c>
      <c r="W7" s="8" t="s">
        <v>22</v>
      </c>
      <c r="X7" s="8" t="s">
        <v>65</v>
      </c>
      <c r="Y7" s="46" t="s">
        <v>22</v>
      </c>
      <c r="Z7" s="46" t="s">
        <v>65</v>
      </c>
      <c r="AA7" s="46" t="s">
        <v>22</v>
      </c>
      <c r="AB7" s="46" t="s">
        <v>65</v>
      </c>
      <c r="AC7" s="46" t="s">
        <v>22</v>
      </c>
      <c r="AD7" s="46" t="s">
        <v>65</v>
      </c>
      <c r="AE7" s="46" t="s">
        <v>22</v>
      </c>
      <c r="AF7" s="46" t="s">
        <v>65</v>
      </c>
      <c r="AG7" s="46" t="s">
        <v>22</v>
      </c>
      <c r="AH7" s="46" t="s">
        <v>65</v>
      </c>
      <c r="AI7" s="8" t="s">
        <v>102</v>
      </c>
      <c r="AJ7" s="8" t="s">
        <v>111</v>
      </c>
      <c r="AK7" s="8" t="s">
        <v>115</v>
      </c>
      <c r="AL7" s="8" t="s">
        <v>118</v>
      </c>
      <c r="AM7" s="8" t="s">
        <v>119</v>
      </c>
      <c r="AN7" s="8" t="s">
        <v>103</v>
      </c>
      <c r="AO7" s="8" t="s">
        <v>104</v>
      </c>
      <c r="AP7" s="8" t="s">
        <v>112</v>
      </c>
      <c r="AQ7" s="8" t="s">
        <v>114</v>
      </c>
      <c r="AR7" s="8" t="s">
        <v>117</v>
      </c>
      <c r="AS7" s="8" t="s">
        <v>120</v>
      </c>
      <c r="AT7" s="8" t="s">
        <v>105</v>
      </c>
    </row>
    <row r="8" spans="2:46" s="14" customFormat="1" ht="6.75" customHeight="1" x14ac:dyDescent="0.2"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3"/>
      <c r="Z8" s="43"/>
      <c r="AA8" s="43"/>
      <c r="AB8" s="43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6"/>
      <c r="AP8" s="56"/>
      <c r="AQ8" s="56"/>
      <c r="AR8" s="56"/>
      <c r="AS8" s="56"/>
      <c r="AT8" s="38"/>
    </row>
    <row r="9" spans="2:46" s="14" customFormat="1" ht="12" customHeight="1" x14ac:dyDescent="0.2">
      <c r="B9" s="15" t="s">
        <v>24</v>
      </c>
      <c r="C9" s="16"/>
      <c r="D9" s="17"/>
      <c r="E9" s="18">
        <f>+E11+E16+E26+E50+E54+E57</f>
        <v>405632075</v>
      </c>
      <c r="F9" s="19">
        <f>SUM(F11+F16+F26+F50+F54)</f>
        <v>112174618.01000001</v>
      </c>
      <c r="G9" s="18">
        <f>+G11+G16+G26+G50+G54+G57</f>
        <v>485376450</v>
      </c>
      <c r="H9" s="19">
        <f>SUM(H11+H16+H26+H50+H54)</f>
        <v>125823357</v>
      </c>
      <c r="I9" s="18">
        <f>+I11+I16+I26+I50+I54+I57</f>
        <v>527486494.82999998</v>
      </c>
      <c r="J9" s="19">
        <f>SUM(J11+J16+J26+J50+J54)</f>
        <v>151421564.73999998</v>
      </c>
      <c r="K9" s="18">
        <f>+K11+K16+K26+K50+K54+K57</f>
        <v>598002192.87944055</v>
      </c>
      <c r="L9" s="19">
        <f>SUM(L11+L16+L26+L50+L54)</f>
        <v>179656298.01853201</v>
      </c>
      <c r="M9" s="18">
        <f>+M11+M16+M26+M50+M54+M57</f>
        <v>624833349.2875334</v>
      </c>
      <c r="N9" s="19">
        <f>SUM(N11+N16+N26+N50+N54)</f>
        <v>190861820.10031033</v>
      </c>
      <c r="O9" s="18">
        <f t="shared" ref="O9:Z9" si="0">+O11+O16+O23+O26+O50+O54+O57</f>
        <v>613976934.73899996</v>
      </c>
      <c r="P9" s="19">
        <f t="shared" si="0"/>
        <v>126633382.34</v>
      </c>
      <c r="Q9" s="18">
        <f t="shared" si="0"/>
        <v>47442780.881201595</v>
      </c>
      <c r="R9" s="19">
        <f t="shared" si="0"/>
        <v>17255829.59386088</v>
      </c>
      <c r="S9" s="18">
        <f t="shared" si="0"/>
        <v>94608547.782693893</v>
      </c>
      <c r="T9" s="19">
        <f t="shared" si="0"/>
        <v>19240839.075241663</v>
      </c>
      <c r="U9" s="19">
        <f t="shared" si="0"/>
        <v>67378937.518019721</v>
      </c>
      <c r="V9" s="19">
        <f t="shared" si="0"/>
        <v>15009591.483077697</v>
      </c>
      <c r="W9" s="19">
        <f t="shared" si="0"/>
        <v>395318410.13940549</v>
      </c>
      <c r="X9" s="19">
        <f t="shared" si="0"/>
        <v>338022074.10892069</v>
      </c>
      <c r="Y9" s="19">
        <f>+Y11+Y16+Y23+Y26+Y50+Y54+Y57</f>
        <v>373264305.75115126</v>
      </c>
      <c r="Z9" s="19">
        <f t="shared" si="0"/>
        <v>331896373.0000627</v>
      </c>
      <c r="AA9" s="19">
        <f>+AA11+AA16+AA23+AA26+AA50+AA54+AA57</f>
        <v>330996324.9879598</v>
      </c>
      <c r="AB9" s="19">
        <f t="shared" ref="AB9" si="1">+AB11+AB16+AB23+AB26+AB50+AB54+AB57</f>
        <v>369804276.59712911</v>
      </c>
      <c r="AC9" s="50">
        <v>141344273.5572646</v>
      </c>
      <c r="AD9" s="50">
        <v>75916511.340916947</v>
      </c>
      <c r="AE9" s="50">
        <v>310425067.48120964</v>
      </c>
      <c r="AF9" s="50">
        <v>637897053.35810959</v>
      </c>
      <c r="AG9" s="50">
        <v>1066543578.9628488</v>
      </c>
      <c r="AH9" s="50">
        <v>1573283158.18624</v>
      </c>
      <c r="AI9" s="50">
        <v>154407607.62</v>
      </c>
      <c r="AJ9" s="50">
        <v>155337592.75</v>
      </c>
      <c r="AK9" s="50">
        <f>+AK11+AK16+AK23+AK26</f>
        <v>172271343.90162104</v>
      </c>
      <c r="AL9" s="50">
        <v>91479465.269999996</v>
      </c>
      <c r="AM9" s="50">
        <v>92473543.61999999</v>
      </c>
      <c r="AN9" s="50">
        <v>665969553.17237306</v>
      </c>
      <c r="AO9" s="50">
        <v>108197806</v>
      </c>
      <c r="AP9" s="50">
        <v>92625279.560000002</v>
      </c>
      <c r="AQ9" s="50">
        <f>+AQ11+AQ16+AQ23+AQ26</f>
        <v>93865280.580760866</v>
      </c>
      <c r="AR9" s="50">
        <v>34591297.660000004</v>
      </c>
      <c r="AS9" s="50">
        <v>33439465.09</v>
      </c>
      <c r="AT9" s="50">
        <v>362719128.88588381</v>
      </c>
    </row>
    <row r="10" spans="2:46" s="14" customFormat="1" ht="6.75" customHeight="1" outlineLevel="1" x14ac:dyDescent="0.2">
      <c r="B10" s="20"/>
      <c r="C10" s="16"/>
      <c r="D10" s="1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8"/>
      <c r="V10" s="38"/>
      <c r="W10" s="38"/>
      <c r="X10" s="38"/>
      <c r="Y10" s="19"/>
      <c r="Z10" s="19"/>
      <c r="AA10" s="19"/>
      <c r="AB10" s="19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</row>
    <row r="11" spans="2:46" s="25" customFormat="1" ht="12" customHeight="1" outlineLevel="1" x14ac:dyDescent="0.2">
      <c r="B11" s="22"/>
      <c r="C11" s="23" t="s">
        <v>25</v>
      </c>
      <c r="D11" s="24"/>
      <c r="E11" s="18">
        <f>SUM(E12:E15)</f>
        <v>1371073</v>
      </c>
      <c r="F11" s="18">
        <f>SUM(F12:F13)</f>
        <v>2120747</v>
      </c>
      <c r="G11" s="18">
        <f>SUM(G12:G15)</f>
        <v>4387622</v>
      </c>
      <c r="H11" s="18">
        <f>SUM(H12:H13)</f>
        <v>2574361</v>
      </c>
      <c r="I11" s="18">
        <f>SUM(I12:I15)</f>
        <v>4696847</v>
      </c>
      <c r="J11" s="18">
        <f>SUM(J12:J13)</f>
        <v>3341218.8699999996</v>
      </c>
      <c r="K11" s="18">
        <f>SUM(K12:K15)</f>
        <v>4569492.9000000004</v>
      </c>
      <c r="L11" s="18">
        <f>SUM(L12:L13)</f>
        <v>6523255.7799999993</v>
      </c>
      <c r="M11" s="18">
        <f>SUM(M12:M15)</f>
        <v>5145014.24</v>
      </c>
      <c r="N11" s="18">
        <f>SUM(N12:N13)</f>
        <v>5745961.1699999999</v>
      </c>
      <c r="O11" s="18">
        <f>SUM(O12:O15)</f>
        <v>6231056.54</v>
      </c>
      <c r="P11" s="18">
        <f>SUM(P12:P13)</f>
        <v>5842286.7999999998</v>
      </c>
      <c r="Q11" s="18">
        <f>SUM(Q12:Q15)</f>
        <v>6897379.6199515862</v>
      </c>
      <c r="R11" s="18">
        <f>SUM(R12:R13)</f>
        <v>5942726.1637677411</v>
      </c>
      <c r="S11" s="18">
        <f>SUM(S12:S15)</f>
        <v>8106213.1912896242</v>
      </c>
      <c r="T11" s="18">
        <f t="shared" ref="T11:Z11" si="2">SUM(T12:T14)</f>
        <v>6294648.5252574505</v>
      </c>
      <c r="U11" s="18">
        <f t="shared" si="2"/>
        <v>9312677.1873963438</v>
      </c>
      <c r="V11" s="18">
        <f t="shared" si="2"/>
        <v>5907566.5933492128</v>
      </c>
      <c r="W11" s="18">
        <f t="shared" si="2"/>
        <v>12298858.67</v>
      </c>
      <c r="X11" s="18">
        <f t="shared" si="2"/>
        <v>7229654.1534111574</v>
      </c>
      <c r="Y11" s="19">
        <f t="shared" si="2"/>
        <v>15682445.815277219</v>
      </c>
      <c r="Z11" s="19">
        <f t="shared" si="2"/>
        <v>4573716.3136977637</v>
      </c>
      <c r="AA11" s="19">
        <f>SUM(AA12:AA14)</f>
        <v>19282345.039148867</v>
      </c>
      <c r="AB11" s="19">
        <f>SUM(AB12:AB14)</f>
        <v>3892368.6385307778</v>
      </c>
      <c r="AC11" s="50">
        <v>19441914.977264605</v>
      </c>
      <c r="AD11" s="50">
        <v>771532.37645965733</v>
      </c>
      <c r="AE11" s="50">
        <v>2477189.4978431496</v>
      </c>
      <c r="AF11" s="50">
        <v>9521.3337191656119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</row>
    <row r="12" spans="2:46" s="25" customFormat="1" ht="12" customHeight="1" outlineLevel="2" x14ac:dyDescent="0.2">
      <c r="B12" s="22"/>
      <c r="C12" s="23"/>
      <c r="D12" s="26" t="s">
        <v>84</v>
      </c>
      <c r="E12" s="27">
        <v>0</v>
      </c>
      <c r="F12" s="27">
        <v>0</v>
      </c>
      <c r="G12" s="27">
        <v>2089524</v>
      </c>
      <c r="H12" s="27">
        <f>2322+831462</f>
        <v>833784</v>
      </c>
      <c r="I12" s="27">
        <v>1297784</v>
      </c>
      <c r="J12" s="27">
        <f>481078.85+3604.49</f>
        <v>484683.33999999997</v>
      </c>
      <c r="K12" s="27">
        <v>1411300.63</v>
      </c>
      <c r="L12" s="27">
        <v>499565.77</v>
      </c>
      <c r="M12" s="27">
        <v>1500166.37</v>
      </c>
      <c r="N12" s="27">
        <v>498559.9</v>
      </c>
      <c r="O12" s="27">
        <v>2340187.96</v>
      </c>
      <c r="P12" s="27">
        <v>512709.63</v>
      </c>
      <c r="Q12" s="27">
        <v>2719141.873323082</v>
      </c>
      <c r="R12" s="27">
        <v>505871.00802792667</v>
      </c>
      <c r="S12" s="27">
        <v>2986523.1511388938</v>
      </c>
      <c r="T12" s="27">
        <v>497321.26550649072</v>
      </c>
      <c r="U12" s="27">
        <v>3303092.6999900416</v>
      </c>
      <c r="V12" s="27">
        <v>483908.54388427502</v>
      </c>
      <c r="W12" s="27">
        <v>6048160.1699999999</v>
      </c>
      <c r="X12" s="27">
        <v>482358.93836470629</v>
      </c>
      <c r="Y12" s="21">
        <v>7524669.1418904355</v>
      </c>
      <c r="Z12" s="21">
        <v>417630.82643747237</v>
      </c>
      <c r="AA12" s="21">
        <v>9638226.7068515252</v>
      </c>
      <c r="AB12" s="21">
        <v>340563.81810327549</v>
      </c>
      <c r="AC12" s="51">
        <v>12196531.896477535</v>
      </c>
      <c r="AD12" s="51">
        <v>186363.5353018915</v>
      </c>
      <c r="AE12" s="51">
        <v>2477189.4978431496</v>
      </c>
      <c r="AF12" s="51">
        <v>9521.3337191656119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</row>
    <row r="13" spans="2:46" s="25" customFormat="1" ht="12" customHeight="1" outlineLevel="2" x14ac:dyDescent="0.2">
      <c r="B13" s="22"/>
      <c r="C13" s="23"/>
      <c r="D13" s="26" t="s">
        <v>26</v>
      </c>
      <c r="E13" s="27">
        <v>1371073</v>
      </c>
      <c r="F13" s="27">
        <v>2120747</v>
      </c>
      <c r="G13" s="27">
        <v>2298098</v>
      </c>
      <c r="H13" s="27">
        <v>1740577</v>
      </c>
      <c r="I13" s="27">
        <v>3399063</v>
      </c>
      <c r="J13" s="27">
        <v>2856535.53</v>
      </c>
      <c r="K13" s="27">
        <v>3158192.27</v>
      </c>
      <c r="L13" s="27">
        <v>6023690.0099999998</v>
      </c>
      <c r="M13" s="27">
        <v>3644847.87</v>
      </c>
      <c r="N13" s="27">
        <v>5247401.2699999996</v>
      </c>
      <c r="O13" s="27">
        <v>3890868.58</v>
      </c>
      <c r="P13" s="27">
        <v>5329577.17</v>
      </c>
      <c r="Q13" s="27">
        <v>4178237.7466285042</v>
      </c>
      <c r="R13" s="27">
        <v>5436855.155739814</v>
      </c>
      <c r="S13" s="27">
        <v>4671541.6901507312</v>
      </c>
      <c r="T13" s="27">
        <v>5138707.7013469534</v>
      </c>
      <c r="U13" s="27">
        <v>5338124.03</v>
      </c>
      <c r="V13" s="27">
        <v>4543769.6570552262</v>
      </c>
      <c r="W13" s="27">
        <v>5476083.2599999998</v>
      </c>
      <c r="X13" s="27">
        <v>5820683.8986516213</v>
      </c>
      <c r="Y13" s="21">
        <v>7118990.3544647601</v>
      </c>
      <c r="Z13" s="21">
        <v>3530024.35781834</v>
      </c>
      <c r="AA13" s="21">
        <v>8300779.6313598733</v>
      </c>
      <c r="AB13" s="21">
        <v>3157832.5113739823</v>
      </c>
      <c r="AC13" s="51">
        <v>6835759.1894791229</v>
      </c>
      <c r="AD13" s="51">
        <v>567730.22582980583</v>
      </c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</row>
    <row r="14" spans="2:46" s="25" customFormat="1" ht="12" customHeight="1" outlineLevel="2" x14ac:dyDescent="0.2">
      <c r="B14" s="22"/>
      <c r="C14" s="23"/>
      <c r="D14" s="26" t="s">
        <v>67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448148.35</v>
      </c>
      <c r="T14" s="27">
        <v>658619.55840400595</v>
      </c>
      <c r="U14" s="27">
        <v>671460.45740630059</v>
      </c>
      <c r="V14" s="27">
        <v>879888.39240971231</v>
      </c>
      <c r="W14" s="27">
        <v>774615.24</v>
      </c>
      <c r="X14" s="27">
        <v>926611.31639482977</v>
      </c>
      <c r="Y14" s="21">
        <v>1038786.3189220234</v>
      </c>
      <c r="Z14" s="21">
        <v>626061.12944195105</v>
      </c>
      <c r="AA14" s="21">
        <v>1343338.7009374667</v>
      </c>
      <c r="AB14" s="21">
        <v>393972.30905351951</v>
      </c>
      <c r="AC14" s="51">
        <v>409623.89130794769</v>
      </c>
      <c r="AD14" s="51">
        <v>17438.615327959989</v>
      </c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2:46" s="14" customFormat="1" ht="6.75" customHeight="1" outlineLevel="1" x14ac:dyDescent="0.2">
      <c r="B15" s="28"/>
      <c r="C15" s="16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8"/>
      <c r="V15" s="38"/>
      <c r="W15" s="38"/>
      <c r="X15" s="38"/>
      <c r="Y15" s="19"/>
      <c r="Z15" s="19"/>
      <c r="AA15" s="19"/>
      <c r="AB15" s="19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</row>
    <row r="16" spans="2:46" s="25" customFormat="1" ht="12" customHeight="1" outlineLevel="1" x14ac:dyDescent="0.2">
      <c r="B16" s="22"/>
      <c r="C16" s="23" t="s">
        <v>27</v>
      </c>
      <c r="D16" s="24"/>
      <c r="E16" s="18">
        <f t="shared" ref="E16:P16" si="3">SUM(E17:E21)</f>
        <v>11017167.51</v>
      </c>
      <c r="F16" s="18">
        <f t="shared" si="3"/>
        <v>7143117.3700000001</v>
      </c>
      <c r="G16" s="18">
        <f t="shared" si="3"/>
        <v>4222091</v>
      </c>
      <c r="H16" s="18">
        <f t="shared" si="3"/>
        <v>2565749</v>
      </c>
      <c r="I16" s="18">
        <f t="shared" si="3"/>
        <v>4283715.1399999997</v>
      </c>
      <c r="J16" s="18">
        <f t="shared" si="3"/>
        <v>2167634.02</v>
      </c>
      <c r="K16" s="18">
        <f t="shared" si="3"/>
        <v>4327618.486734896</v>
      </c>
      <c r="L16" s="18">
        <f t="shared" si="3"/>
        <v>1751677.3879446373</v>
      </c>
      <c r="M16" s="18">
        <f t="shared" si="3"/>
        <v>6050258.1275334004</v>
      </c>
      <c r="N16" s="18">
        <f t="shared" si="3"/>
        <v>4286397.3103103256</v>
      </c>
      <c r="O16" s="18">
        <f t="shared" si="3"/>
        <v>4648417.0599999996</v>
      </c>
      <c r="P16" s="18">
        <f t="shared" si="3"/>
        <v>30774574.280000001</v>
      </c>
      <c r="Q16" s="18">
        <f t="shared" ref="Q16:V16" si="4">SUM(Q17:Q21)</f>
        <v>4805480.1512500001</v>
      </c>
      <c r="R16" s="18">
        <f t="shared" si="4"/>
        <v>3424341.743986696</v>
      </c>
      <c r="S16" s="18">
        <f t="shared" si="4"/>
        <v>3628236.4914042647</v>
      </c>
      <c r="T16" s="18">
        <f t="shared" si="4"/>
        <v>3422712.9863000005</v>
      </c>
      <c r="U16" s="18">
        <f t="shared" si="4"/>
        <v>4513844.974706714</v>
      </c>
      <c r="V16" s="18">
        <f t="shared" si="4"/>
        <v>3881683.8497284846</v>
      </c>
      <c r="W16" s="18">
        <f t="shared" ref="W16:Z16" si="5">SUM(W17:W21)</f>
        <v>6926344.0300000003</v>
      </c>
      <c r="X16" s="18">
        <f t="shared" si="5"/>
        <v>5312232.19582</v>
      </c>
      <c r="Y16" s="19">
        <f t="shared" si="5"/>
        <v>8410580.4900000002</v>
      </c>
      <c r="Z16" s="19">
        <f t="shared" si="5"/>
        <v>5815661.6611112254</v>
      </c>
      <c r="AA16" s="19">
        <f>SUM(AA17:AA21)</f>
        <v>11976206.330000002</v>
      </c>
      <c r="AB16" s="19">
        <f>SUM(AB17:AB21)</f>
        <v>8725636.7926000003</v>
      </c>
      <c r="AC16" s="50">
        <v>14188759.120000001</v>
      </c>
      <c r="AD16" s="50">
        <v>8143446.8887363952</v>
      </c>
      <c r="AE16" s="50">
        <v>28100297.450000003</v>
      </c>
      <c r="AF16" s="50">
        <v>14324443.794390405</v>
      </c>
      <c r="AG16" s="50">
        <v>48226553.095759995</v>
      </c>
      <c r="AH16" s="50">
        <v>19771996.656239998</v>
      </c>
      <c r="AI16" s="50">
        <v>0</v>
      </c>
      <c r="AJ16" s="50">
        <v>0</v>
      </c>
      <c r="AK16" s="50">
        <v>15685328.05162104</v>
      </c>
      <c r="AL16" s="50">
        <v>0</v>
      </c>
      <c r="AM16" s="50">
        <v>0</v>
      </c>
      <c r="AN16" s="50">
        <v>15685328.05162104</v>
      </c>
      <c r="AO16" s="50">
        <v>0</v>
      </c>
      <c r="AP16" s="50">
        <v>0</v>
      </c>
      <c r="AQ16" s="50">
        <f>AQ18</f>
        <v>5365698.6707608718</v>
      </c>
      <c r="AR16" s="50">
        <v>0</v>
      </c>
      <c r="AS16" s="50">
        <v>0</v>
      </c>
      <c r="AT16" s="50">
        <v>5365698.6709208712</v>
      </c>
    </row>
    <row r="17" spans="2:46" s="25" customFormat="1" ht="12" customHeight="1" outlineLevel="2" x14ac:dyDescent="0.2">
      <c r="B17" s="22"/>
      <c r="C17" s="23"/>
      <c r="D17" s="26" t="s">
        <v>7</v>
      </c>
      <c r="E17" s="27">
        <v>2867608</v>
      </c>
      <c r="F17" s="27">
        <v>863961</v>
      </c>
      <c r="G17" s="27">
        <v>456874</v>
      </c>
      <c r="H17" s="27">
        <v>253887</v>
      </c>
      <c r="I17" s="27">
        <v>489275</v>
      </c>
      <c r="J17" s="27">
        <v>203661</v>
      </c>
      <c r="K17" s="27">
        <v>488458.92</v>
      </c>
      <c r="L17" s="27">
        <v>150328.93</v>
      </c>
      <c r="M17" s="27">
        <v>759595.55</v>
      </c>
      <c r="N17" s="27">
        <v>2626613.04</v>
      </c>
      <c r="O17" s="27">
        <v>286508.61</v>
      </c>
      <c r="P17" s="27">
        <v>10838184.939871231</v>
      </c>
      <c r="Q17" s="27">
        <v>379725.85125000001</v>
      </c>
      <c r="R17" s="27">
        <v>252879.67274999997</v>
      </c>
      <c r="S17" s="27">
        <v>476263.28096</v>
      </c>
      <c r="T17" s="27">
        <v>222981.6005</v>
      </c>
      <c r="U17" s="27">
        <v>654893.88</v>
      </c>
      <c r="V17" s="27">
        <v>193070.33666</v>
      </c>
      <c r="W17" s="27">
        <v>946509.63</v>
      </c>
      <c r="X17" s="27">
        <v>171724.43177999998</v>
      </c>
      <c r="Y17" s="21">
        <v>688785.68</v>
      </c>
      <c r="Z17" s="21">
        <v>62476.994019999998</v>
      </c>
      <c r="AA17" s="21">
        <v>130505.67000000001</v>
      </c>
      <c r="AB17" s="21">
        <v>11869.7857</v>
      </c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</row>
    <row r="18" spans="2:46" s="25" customFormat="1" ht="12" customHeight="1" outlineLevel="2" x14ac:dyDescent="0.2">
      <c r="B18" s="22"/>
      <c r="C18" s="23"/>
      <c r="D18" s="26" t="s">
        <v>69</v>
      </c>
      <c r="E18" s="27">
        <f>245633+179092+11026+2142.51</f>
        <v>437893.51</v>
      </c>
      <c r="F18" s="27">
        <f>518396+16975+205269+48527+13297+3344+1563.28+56745.25+111.84</f>
        <v>864228.37</v>
      </c>
      <c r="G18" s="27">
        <f>56541+2243+378542+22891</f>
        <v>460217</v>
      </c>
      <c r="H18" s="27">
        <f>193+3908+139765+51864+12966+397730+95321+25923+6481</f>
        <v>734151</v>
      </c>
      <c r="I18" s="27">
        <f>59422+403577+24057+2384.14</f>
        <v>489440.14</v>
      </c>
      <c r="J18" s="27">
        <f>49560+387351+24990+12390+92825+6247+76.19+3908.24+140405.9</f>
        <v>717753.33</v>
      </c>
      <c r="K18" s="27">
        <v>534160.00673489587</v>
      </c>
      <c r="L18" s="27">
        <v>684176.58794463752</v>
      </c>
      <c r="M18" s="27">
        <v>746015.48753340065</v>
      </c>
      <c r="N18" s="27">
        <v>768824.03031032544</v>
      </c>
      <c r="O18" s="27">
        <v>1449587.13</v>
      </c>
      <c r="P18" s="27">
        <v>19645588.020128768</v>
      </c>
      <c r="Q18" s="27">
        <v>2525596.94</v>
      </c>
      <c r="R18" s="27">
        <v>3078505.3112366963</v>
      </c>
      <c r="S18" s="27">
        <v>2983638.3304442647</v>
      </c>
      <c r="T18" s="27">
        <v>3203788.8258000002</v>
      </c>
      <c r="U18" s="27">
        <v>3858951.0947067142</v>
      </c>
      <c r="V18" s="27">
        <v>3688613.5130684846</v>
      </c>
      <c r="W18" s="27">
        <v>5979834.4000000004</v>
      </c>
      <c r="X18" s="27">
        <v>5140507.7640399998</v>
      </c>
      <c r="Y18" s="21">
        <v>7721794.8099999996</v>
      </c>
      <c r="Z18" s="21">
        <v>5753184.6670912253</v>
      </c>
      <c r="AA18" s="21">
        <v>11845700.660000002</v>
      </c>
      <c r="AB18" s="21">
        <v>8713767.0068999995</v>
      </c>
      <c r="AC18" s="51">
        <v>14188759.120000001</v>
      </c>
      <c r="AD18" s="51">
        <v>8143446.8887363952</v>
      </c>
      <c r="AE18" s="51">
        <v>28100297.450000003</v>
      </c>
      <c r="AF18" s="51">
        <v>14324443.794390405</v>
      </c>
      <c r="AG18" s="51">
        <v>48226553.095759995</v>
      </c>
      <c r="AH18" s="51">
        <v>19771996.656239998</v>
      </c>
      <c r="AI18" s="51">
        <v>0</v>
      </c>
      <c r="AJ18" s="51">
        <v>0</v>
      </c>
      <c r="AK18" s="51">
        <v>15685328.05162104</v>
      </c>
      <c r="AL18" s="51">
        <v>0</v>
      </c>
      <c r="AM18" s="51">
        <v>0</v>
      </c>
      <c r="AN18" s="51">
        <v>15685328.05162104</v>
      </c>
      <c r="AO18" s="51">
        <v>0</v>
      </c>
      <c r="AP18" s="51">
        <v>0</v>
      </c>
      <c r="AQ18" s="51">
        <v>5365698.6707608718</v>
      </c>
      <c r="AR18" s="51">
        <v>0</v>
      </c>
      <c r="AS18" s="51">
        <v>0</v>
      </c>
      <c r="AT18" s="51">
        <v>5365698.6709208712</v>
      </c>
    </row>
    <row r="19" spans="2:46" s="25" customFormat="1" ht="12" customHeight="1" outlineLevel="2" x14ac:dyDescent="0.2">
      <c r="B19" s="22"/>
      <c r="C19" s="23"/>
      <c r="D19" s="26" t="s">
        <v>17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1">
        <v>0</v>
      </c>
      <c r="Z19" s="21"/>
      <c r="AA19" s="21">
        <v>0</v>
      </c>
      <c r="AB19" s="2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</row>
    <row r="20" spans="2:46" s="25" customFormat="1" ht="12" customHeight="1" outlineLevel="2" x14ac:dyDescent="0.2">
      <c r="B20" s="22"/>
      <c r="C20" s="23"/>
      <c r="D20" s="26" t="s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1239647.53</v>
      </c>
      <c r="N20" s="27">
        <v>250798.47</v>
      </c>
      <c r="O20" s="27">
        <v>336854.74</v>
      </c>
      <c r="P20" s="27">
        <v>35756.76</v>
      </c>
      <c r="Q20" s="27">
        <v>708664.77</v>
      </c>
      <c r="R20" s="27">
        <v>36558.230000000003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1">
        <v>0</v>
      </c>
      <c r="Z20" s="21">
        <v>0</v>
      </c>
      <c r="AA20" s="21">
        <v>0</v>
      </c>
      <c r="AB20" s="21">
        <v>0</v>
      </c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</row>
    <row r="21" spans="2:46" s="25" customFormat="1" ht="12" customHeight="1" outlineLevel="2" x14ac:dyDescent="0.2">
      <c r="B21" s="22"/>
      <c r="C21" s="23"/>
      <c r="D21" s="26" t="s">
        <v>28</v>
      </c>
      <c r="E21" s="27">
        <v>7711666</v>
      </c>
      <c r="F21" s="27">
        <f>5399332+15596</f>
        <v>5414928</v>
      </c>
      <c r="G21" s="27">
        <v>3305000</v>
      </c>
      <c r="H21" s="27">
        <f>1563107+14604</f>
        <v>1577711</v>
      </c>
      <c r="I21" s="27">
        <v>3305000</v>
      </c>
      <c r="J21" s="27">
        <f>1232606.97+13612.72</f>
        <v>1246219.69</v>
      </c>
      <c r="K21" s="27">
        <v>3304999.56</v>
      </c>
      <c r="L21" s="27">
        <v>917171.87</v>
      </c>
      <c r="M21" s="27">
        <v>3304999.56</v>
      </c>
      <c r="N21" s="27">
        <v>640161.77</v>
      </c>
      <c r="O21" s="27">
        <v>2575466.58</v>
      </c>
      <c r="P21" s="27">
        <v>255044.56</v>
      </c>
      <c r="Q21" s="27">
        <v>1191492.5900000001</v>
      </c>
      <c r="R21" s="27">
        <v>56398.53</v>
      </c>
      <c r="S21" s="27">
        <v>168334.88</v>
      </c>
      <c r="T21" s="27">
        <v>-4057.44</v>
      </c>
      <c r="U21" s="27">
        <v>0</v>
      </c>
      <c r="V21" s="27">
        <v>0</v>
      </c>
      <c r="W21" s="27">
        <v>0</v>
      </c>
      <c r="X21" s="27">
        <v>0</v>
      </c>
      <c r="Y21" s="21">
        <v>0</v>
      </c>
      <c r="Z21" s="21">
        <v>0</v>
      </c>
      <c r="AA21" s="21">
        <v>0</v>
      </c>
      <c r="AB21" s="21">
        <v>0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2:46" s="14" customFormat="1" ht="6.75" customHeight="1" outlineLevel="1" x14ac:dyDescent="0.2">
      <c r="B22" s="28"/>
      <c r="C22" s="16"/>
      <c r="D22" s="1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8"/>
      <c r="V22" s="38"/>
      <c r="W22" s="38"/>
      <c r="X22" s="38"/>
      <c r="Y22" s="19"/>
      <c r="Z22" s="19"/>
      <c r="AA22" s="19"/>
      <c r="AB22" s="1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s="25" customFormat="1" ht="12" customHeight="1" outlineLevel="1" x14ac:dyDescent="0.2">
      <c r="B23" s="22"/>
      <c r="C23" s="23" t="s">
        <v>29</v>
      </c>
      <c r="D23" s="2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ref="O23:Z23" si="6">+O24</f>
        <v>898799.14</v>
      </c>
      <c r="P23" s="18">
        <f t="shared" si="6"/>
        <v>188545.22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9">
        <f t="shared" si="6"/>
        <v>0</v>
      </c>
      <c r="Z23" s="19">
        <f t="shared" si="6"/>
        <v>0</v>
      </c>
      <c r="AA23" s="19">
        <f>+AA24</f>
        <v>0</v>
      </c>
      <c r="AB23" s="19">
        <f>+AB24</f>
        <v>0</v>
      </c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2:46" s="25" customFormat="1" ht="12" customHeight="1" outlineLevel="2" x14ac:dyDescent="0.2">
      <c r="B24" s="22"/>
      <c r="C24" s="23"/>
      <c r="D24" s="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898799.14</v>
      </c>
      <c r="P24" s="27">
        <v>188545.22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1">
        <v>0</v>
      </c>
      <c r="Z24" s="21">
        <v>0</v>
      </c>
      <c r="AA24" s="21">
        <v>0</v>
      </c>
      <c r="AB24" s="21">
        <v>0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</row>
    <row r="25" spans="2:46" s="14" customFormat="1" ht="6.75" customHeight="1" outlineLevel="1" x14ac:dyDescent="0.2">
      <c r="B25" s="28"/>
      <c r="C25" s="16"/>
      <c r="D25" s="1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8"/>
      <c r="V25" s="38"/>
      <c r="W25" s="38"/>
      <c r="X25" s="38"/>
      <c r="Y25" s="21"/>
      <c r="Z25" s="21"/>
      <c r="AA25" s="21"/>
      <c r="AB25" s="2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</row>
    <row r="26" spans="2:46" s="25" customFormat="1" ht="12" customHeight="1" outlineLevel="1" x14ac:dyDescent="0.2">
      <c r="B26" s="22"/>
      <c r="C26" s="23" t="s">
        <v>30</v>
      </c>
      <c r="D26" s="24"/>
      <c r="E26" s="18">
        <f t="shared" ref="E26:M26" si="7">SUM(E27:E43)</f>
        <v>392239951.49000001</v>
      </c>
      <c r="F26" s="18">
        <f t="shared" si="7"/>
        <v>102814178.64</v>
      </c>
      <c r="G26" s="18">
        <f t="shared" si="7"/>
        <v>476095160</v>
      </c>
      <c r="H26" s="18">
        <f t="shared" si="7"/>
        <v>120668637</v>
      </c>
      <c r="I26" s="18">
        <f t="shared" si="7"/>
        <v>518305110.69</v>
      </c>
      <c r="J26" s="18">
        <f t="shared" si="7"/>
        <v>145896540.43000001</v>
      </c>
      <c r="K26" s="18">
        <f t="shared" si="7"/>
        <v>589105081.4927057</v>
      </c>
      <c r="L26" s="18">
        <f t="shared" si="7"/>
        <v>171381364.85058737</v>
      </c>
      <c r="M26" s="18">
        <f t="shared" si="7"/>
        <v>613638076.91999996</v>
      </c>
      <c r="N26" s="18">
        <f>SUM(N27:N44)</f>
        <v>180829461.62</v>
      </c>
      <c r="O26" s="18">
        <f t="shared" ref="O26:X26" si="8">SUM(O27:O45)</f>
        <v>602198661.99899995</v>
      </c>
      <c r="P26" s="18">
        <f t="shared" si="8"/>
        <v>89827976.040000007</v>
      </c>
      <c r="Q26" s="18">
        <f t="shared" si="8"/>
        <v>35739921.110000007</v>
      </c>
      <c r="R26" s="18">
        <f t="shared" si="8"/>
        <v>7871363.1999999993</v>
      </c>
      <c r="S26" s="18">
        <f t="shared" si="8"/>
        <v>50014098.100000001</v>
      </c>
      <c r="T26" s="18">
        <f t="shared" si="8"/>
        <v>6922437.5800000001</v>
      </c>
      <c r="U26" s="18">
        <f t="shared" si="8"/>
        <v>53552415.355916664</v>
      </c>
      <c r="V26" s="18">
        <f t="shared" si="8"/>
        <v>5220341.04</v>
      </c>
      <c r="W26" s="18">
        <f t="shared" si="8"/>
        <v>376093207.4394055</v>
      </c>
      <c r="X26" s="18">
        <f t="shared" si="8"/>
        <v>325480187.75968951</v>
      </c>
      <c r="Y26" s="19">
        <f t="shared" ref="Y26:AB26" si="9">SUM(Y27:Y45)</f>
        <v>349171279.44587404</v>
      </c>
      <c r="Z26" s="19">
        <f t="shared" si="9"/>
        <v>321506995.02525371</v>
      </c>
      <c r="AA26" s="19">
        <f t="shared" si="9"/>
        <v>299737773.61881095</v>
      </c>
      <c r="AB26" s="19">
        <f t="shared" si="9"/>
        <v>357186271.16599834</v>
      </c>
      <c r="AC26" s="50">
        <v>107713599.45999999</v>
      </c>
      <c r="AD26" s="50">
        <v>67001532.075720891</v>
      </c>
      <c r="AE26" s="50">
        <v>279847580.5333665</v>
      </c>
      <c r="AF26" s="50">
        <v>623563088.23000002</v>
      </c>
      <c r="AG26" s="50">
        <v>1018317025.8670888</v>
      </c>
      <c r="AH26" s="50">
        <v>1553511161.53</v>
      </c>
      <c r="AI26" s="50">
        <v>154407607.62</v>
      </c>
      <c r="AJ26" s="50">
        <v>155337592.75</v>
      </c>
      <c r="AK26" s="50">
        <v>156586015.84999999</v>
      </c>
      <c r="AL26" s="50">
        <v>91479465.269999996</v>
      </c>
      <c r="AM26" s="50">
        <v>92473543.61999999</v>
      </c>
      <c r="AN26" s="50">
        <v>650284225.12075198</v>
      </c>
      <c r="AO26" s="50">
        <v>108197806</v>
      </c>
      <c r="AP26" s="50">
        <v>92625279.560000002</v>
      </c>
      <c r="AQ26" s="50">
        <f>+AQ39+AQ40+AQ42+AQ46</f>
        <v>88499581.909999996</v>
      </c>
      <c r="AR26" s="50">
        <v>34591297.660000004</v>
      </c>
      <c r="AS26" s="50">
        <v>33439465.09</v>
      </c>
      <c r="AT26" s="50">
        <v>357353430.21496296</v>
      </c>
    </row>
    <row r="27" spans="2:46" s="25" customFormat="1" ht="12" customHeight="1" outlineLevel="2" x14ac:dyDescent="0.2">
      <c r="B27" s="22"/>
      <c r="C27" s="23"/>
      <c r="D27" s="26" t="s">
        <v>31</v>
      </c>
      <c r="E27" s="27">
        <v>170731830</v>
      </c>
      <c r="F27" s="27">
        <f>75791888+701943</f>
        <v>76493831</v>
      </c>
      <c r="G27" s="27">
        <v>206034754</v>
      </c>
      <c r="H27" s="27">
        <f>80157622+598681</f>
        <v>80756303</v>
      </c>
      <c r="I27" s="27">
        <v>224505642</v>
      </c>
      <c r="J27" s="27">
        <f>82855217.17+615880.5</f>
        <v>83471097.670000002</v>
      </c>
      <c r="K27" s="27">
        <v>244018661.35000002</v>
      </c>
      <c r="L27" s="27">
        <v>86035202.559999987</v>
      </c>
      <c r="M27" s="27">
        <v>259224139.85000002</v>
      </c>
      <c r="N27" s="27">
        <v>85919588.969999999</v>
      </c>
      <c r="O27" s="27">
        <v>291443856.96000004</v>
      </c>
      <c r="P27" s="27">
        <v>36383673.07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1">
        <v>0</v>
      </c>
      <c r="Z27" s="21">
        <v>0</v>
      </c>
      <c r="AA27" s="21">
        <v>0</v>
      </c>
      <c r="AB27" s="21">
        <v>0</v>
      </c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</row>
    <row r="28" spans="2:46" s="25" customFormat="1" ht="12" customHeight="1" outlineLevel="2" x14ac:dyDescent="0.2">
      <c r="B28" s="22"/>
      <c r="C28" s="23"/>
      <c r="D28" s="26" t="s">
        <v>32</v>
      </c>
      <c r="E28" s="27">
        <v>2356668</v>
      </c>
      <c r="F28" s="27">
        <f>3270075+22347</f>
        <v>3292422</v>
      </c>
      <c r="G28" s="27">
        <v>2843966</v>
      </c>
      <c r="H28" s="27">
        <f>1106442+8264</f>
        <v>1114706</v>
      </c>
      <c r="I28" s="27">
        <v>3098926</v>
      </c>
      <c r="J28" s="27">
        <f>1143678.2+8501.19</f>
        <v>1152179.3899999999</v>
      </c>
      <c r="K28" s="27">
        <v>3368270.92</v>
      </c>
      <c r="L28" s="27">
        <v>1187572.6100000001</v>
      </c>
      <c r="M28" s="27">
        <v>3578157.21</v>
      </c>
      <c r="N28" s="27">
        <v>1185976.7</v>
      </c>
      <c r="O28" s="27">
        <v>4022896.71</v>
      </c>
      <c r="P28" s="27">
        <v>502215.95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1">
        <v>0</v>
      </c>
      <c r="Z28" s="21">
        <v>0</v>
      </c>
      <c r="AA28" s="21">
        <v>0</v>
      </c>
      <c r="AB28" s="21">
        <v>0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</row>
    <row r="29" spans="2:46" s="25" customFormat="1" ht="12" customHeight="1" outlineLevel="2" x14ac:dyDescent="0.2">
      <c r="B29" s="22"/>
      <c r="C29" s="23"/>
      <c r="D29" s="26" t="s">
        <v>33</v>
      </c>
      <c r="E29" s="27">
        <f>22105165+57501757</f>
        <v>79606922</v>
      </c>
      <c r="F29" s="27">
        <f>1765570+0</f>
        <v>1765570</v>
      </c>
      <c r="G29" s="27">
        <v>64185385</v>
      </c>
      <c r="H29" s="27">
        <v>686606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1">
        <v>0</v>
      </c>
      <c r="Z29" s="21">
        <v>0</v>
      </c>
      <c r="AA29" s="21">
        <v>0</v>
      </c>
      <c r="AB29" s="21">
        <v>0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</row>
    <row r="30" spans="2:46" s="25" customFormat="1" ht="12" customHeight="1" outlineLevel="2" x14ac:dyDescent="0.2">
      <c r="B30" s="22"/>
      <c r="C30" s="23"/>
      <c r="D30" s="26" t="s">
        <v>34</v>
      </c>
      <c r="E30" s="27">
        <v>24210144</v>
      </c>
      <c r="F30" s="27">
        <v>1227595</v>
      </c>
      <c r="G30" s="27">
        <v>26939937</v>
      </c>
      <c r="H30" s="27">
        <v>827897</v>
      </c>
      <c r="I30" s="27">
        <v>28341669</v>
      </c>
      <c r="J30" s="27">
        <v>307490.02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1">
        <v>0</v>
      </c>
      <c r="Z30" s="21">
        <v>0</v>
      </c>
      <c r="AA30" s="21">
        <v>0</v>
      </c>
      <c r="AB30" s="21">
        <v>0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</row>
    <row r="31" spans="2:46" s="25" customFormat="1" ht="12" customHeight="1" outlineLevel="2" x14ac:dyDescent="0.2">
      <c r="B31" s="22"/>
      <c r="C31" s="23"/>
      <c r="D31" s="26" t="s">
        <v>35</v>
      </c>
      <c r="E31" s="27">
        <v>0</v>
      </c>
      <c r="F31" s="27">
        <v>0</v>
      </c>
      <c r="G31" s="27">
        <v>42639787</v>
      </c>
      <c r="H31" s="27">
        <v>8558651</v>
      </c>
      <c r="I31" s="27">
        <v>44724105</v>
      </c>
      <c r="J31" s="27">
        <v>1556287.93</v>
      </c>
      <c r="K31" s="27">
        <v>46483082.220000006</v>
      </c>
      <c r="L31" s="27">
        <v>1360914.07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1">
        <v>0</v>
      </c>
      <c r="Z31" s="21">
        <v>0</v>
      </c>
      <c r="AA31" s="21">
        <v>0</v>
      </c>
      <c r="AB31" s="21">
        <v>0</v>
      </c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</row>
    <row r="32" spans="2:46" s="25" customFormat="1" ht="12" customHeight="1" outlineLevel="2" x14ac:dyDescent="0.2">
      <c r="B32" s="22"/>
      <c r="C32" s="23"/>
      <c r="D32" s="26" t="s">
        <v>36</v>
      </c>
      <c r="E32" s="27">
        <v>0</v>
      </c>
      <c r="F32" s="27">
        <v>0</v>
      </c>
      <c r="G32" s="27">
        <v>0</v>
      </c>
      <c r="H32" s="27">
        <v>4771372</v>
      </c>
      <c r="I32" s="27">
        <v>38106036</v>
      </c>
      <c r="J32" s="27">
        <v>14053628.369999999</v>
      </c>
      <c r="K32" s="27">
        <v>38106036.096848689</v>
      </c>
      <c r="L32" s="27">
        <v>12711913.950000003</v>
      </c>
      <c r="M32" s="27">
        <v>38106036.109999992</v>
      </c>
      <c r="N32" s="27">
        <v>10388994.220000001</v>
      </c>
      <c r="O32" s="27">
        <v>27422648.219999999</v>
      </c>
      <c r="P32" s="27">
        <v>3629508.91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1">
        <v>0</v>
      </c>
      <c r="Z32" s="21">
        <v>0</v>
      </c>
      <c r="AA32" s="21">
        <v>0</v>
      </c>
      <c r="AB32" s="21">
        <v>0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</row>
    <row r="33" spans="2:46" s="25" customFormat="1" ht="12" customHeight="1" outlineLevel="2" x14ac:dyDescent="0.2">
      <c r="B33" s="22"/>
      <c r="C33" s="23"/>
      <c r="D33" s="26" t="s">
        <v>37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11074685.380000001</v>
      </c>
      <c r="K33" s="27">
        <v>28804129.318727996</v>
      </c>
      <c r="L33" s="27">
        <v>11341843.970587397</v>
      </c>
      <c r="M33" s="27">
        <v>28804129.319999997</v>
      </c>
      <c r="N33" s="27">
        <v>9581227.5700000003</v>
      </c>
      <c r="O33" s="27">
        <v>21164232.209999997</v>
      </c>
      <c r="P33" s="27">
        <v>3458498.25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1">
        <v>0</v>
      </c>
      <c r="Z33" s="21">
        <v>0</v>
      </c>
      <c r="AA33" s="21">
        <v>0</v>
      </c>
      <c r="AB33" s="21">
        <v>0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</row>
    <row r="34" spans="2:46" s="25" customFormat="1" ht="12" customHeight="1" outlineLevel="2" x14ac:dyDescent="0.2">
      <c r="B34" s="22"/>
      <c r="C34" s="23"/>
      <c r="D34" s="26" t="s">
        <v>3</v>
      </c>
      <c r="E34" s="27">
        <v>0</v>
      </c>
      <c r="F34" s="27">
        <v>0</v>
      </c>
      <c r="G34" s="27">
        <v>0</v>
      </c>
      <c r="H34" s="27">
        <v>0</v>
      </c>
      <c r="I34" s="27">
        <v>30318619</v>
      </c>
      <c r="J34" s="27">
        <v>10669069.34</v>
      </c>
      <c r="K34" s="27">
        <v>30318619.077128999</v>
      </c>
      <c r="L34" s="27">
        <v>9655479.6899999995</v>
      </c>
      <c r="M34" s="27">
        <v>30318619.079999998</v>
      </c>
      <c r="N34" s="27">
        <v>7505100.6800000006</v>
      </c>
      <c r="O34" s="27">
        <v>21547188.899999999</v>
      </c>
      <c r="P34" s="27">
        <v>2484407.7000000002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1">
        <v>0</v>
      </c>
      <c r="Z34" s="21">
        <v>0</v>
      </c>
      <c r="AA34" s="21">
        <v>0</v>
      </c>
      <c r="AB34" s="21">
        <v>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</row>
    <row r="35" spans="2:46" s="25" customFormat="1" ht="12" customHeight="1" outlineLevel="2" x14ac:dyDescent="0.2">
      <c r="B35" s="22"/>
      <c r="C35" s="23"/>
      <c r="D35" s="26" t="s">
        <v>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33759223.20000001</v>
      </c>
      <c r="L35" s="27">
        <v>11917548.129999999</v>
      </c>
      <c r="M35" s="27">
        <v>33759223.20000001</v>
      </c>
      <c r="N35" s="27">
        <v>10719936.879999999</v>
      </c>
      <c r="O35" s="27">
        <v>24588039.650000002</v>
      </c>
      <c r="P35" s="27">
        <v>3743972.28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1">
        <v>0</v>
      </c>
      <c r="Z35" s="21">
        <v>0</v>
      </c>
      <c r="AA35" s="21">
        <v>0</v>
      </c>
      <c r="AB35" s="21">
        <v>0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</row>
    <row r="36" spans="2:46" s="25" customFormat="1" ht="12" customHeight="1" outlineLevel="2" x14ac:dyDescent="0.2">
      <c r="B36" s="22"/>
      <c r="C36" s="23"/>
      <c r="D36" s="26" t="s">
        <v>5</v>
      </c>
      <c r="E36" s="27">
        <v>99266933</v>
      </c>
      <c r="F36" s="27">
        <v>11586482</v>
      </c>
      <c r="G36" s="27">
        <v>110383942</v>
      </c>
      <c r="H36" s="27">
        <v>10688816</v>
      </c>
      <c r="I36" s="27">
        <v>120341441</v>
      </c>
      <c r="J36" s="27">
        <v>9263147.5600000005</v>
      </c>
      <c r="K36" s="27">
        <v>130844192.90000001</v>
      </c>
      <c r="L36" s="27">
        <v>7491843.9900000002</v>
      </c>
      <c r="M36" s="27">
        <v>139032852.31999999</v>
      </c>
      <c r="N36" s="27">
        <v>5172822.55</v>
      </c>
      <c r="O36" s="27">
        <v>87763009.370000005</v>
      </c>
      <c r="P36" s="27">
        <v>1422587.82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1">
        <v>0</v>
      </c>
      <c r="Z36" s="21">
        <v>0</v>
      </c>
      <c r="AA36" s="21">
        <v>0</v>
      </c>
      <c r="AB36" s="21">
        <v>0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</row>
    <row r="37" spans="2:46" s="25" customFormat="1" ht="12" customHeight="1" outlineLevel="2" x14ac:dyDescent="0.2">
      <c r="B37" s="22"/>
      <c r="C37" s="23"/>
      <c r="D37" s="26" t="s">
        <v>1</v>
      </c>
      <c r="E37" s="27">
        <v>847329</v>
      </c>
      <c r="F37" s="27">
        <v>354623</v>
      </c>
      <c r="G37" s="27">
        <v>898168</v>
      </c>
      <c r="H37" s="27">
        <v>318862</v>
      </c>
      <c r="I37" s="27">
        <v>952058</v>
      </c>
      <c r="J37" s="27">
        <v>249893.4</v>
      </c>
      <c r="K37" s="27">
        <v>1009181.94</v>
      </c>
      <c r="L37" s="27">
        <v>192769.9</v>
      </c>
      <c r="M37" s="27">
        <v>1069732.8600000001</v>
      </c>
      <c r="N37" s="27">
        <v>132218.98000000001</v>
      </c>
      <c r="O37" s="27">
        <v>1133916.83</v>
      </c>
      <c r="P37" s="27">
        <v>68035.009999999995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1"/>
      <c r="Z37" s="21"/>
      <c r="AA37" s="21"/>
      <c r="AB37" s="2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</row>
    <row r="38" spans="2:46" s="25" customFormat="1" ht="12" customHeight="1" outlineLevel="2" x14ac:dyDescent="0.2">
      <c r="B38" s="22"/>
      <c r="C38" s="23"/>
      <c r="D38" s="26" t="s">
        <v>38</v>
      </c>
      <c r="E38" s="27">
        <v>1210099</v>
      </c>
      <c r="F38" s="27">
        <f>71123.97+903100</f>
        <v>974223.97</v>
      </c>
      <c r="G38" s="27">
        <v>1264306</v>
      </c>
      <c r="H38" s="27">
        <f>794968+81230</f>
        <v>876198</v>
      </c>
      <c r="I38" s="27">
        <v>1264306</v>
      </c>
      <c r="J38" s="27">
        <f>684368.67+82399.53</f>
        <v>766768.20000000007</v>
      </c>
      <c r="K38" s="27">
        <v>1268730.96</v>
      </c>
      <c r="L38" s="27">
        <v>661315.56999999995</v>
      </c>
      <c r="M38" s="27">
        <v>1269615.96</v>
      </c>
      <c r="N38" s="27">
        <v>462505.37</v>
      </c>
      <c r="O38" s="27">
        <v>1269615.96</v>
      </c>
      <c r="P38" s="27">
        <v>437270.51</v>
      </c>
      <c r="Q38" s="27">
        <v>1269615.96</v>
      </c>
      <c r="R38" s="27">
        <v>326179.11</v>
      </c>
      <c r="S38" s="27">
        <v>1269615.96</v>
      </c>
      <c r="T38" s="27">
        <v>215741.9</v>
      </c>
      <c r="U38" s="27">
        <v>1192032.7259166667</v>
      </c>
      <c r="V38" s="27">
        <v>104833.51</v>
      </c>
      <c r="W38" s="27">
        <v>513610.13</v>
      </c>
      <c r="X38" s="27">
        <v>21322.75</v>
      </c>
      <c r="Y38" s="21">
        <v>59517.42</v>
      </c>
      <c r="Z38" s="21">
        <v>2924.39</v>
      </c>
      <c r="AA38" s="21">
        <v>5310</v>
      </c>
      <c r="AB38" s="21">
        <v>794.27</v>
      </c>
      <c r="AC38" s="51">
        <v>6195</v>
      </c>
      <c r="AD38" s="51">
        <v>0</v>
      </c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</row>
    <row r="39" spans="2:46" s="25" customFormat="1" ht="12" customHeight="1" outlineLevel="2" x14ac:dyDescent="0.2">
      <c r="B39" s="22"/>
      <c r="C39" s="23"/>
      <c r="D39" s="26" t="s">
        <v>89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331444793.86940551</v>
      </c>
      <c r="X39" s="27">
        <v>320314060.05968952</v>
      </c>
      <c r="Y39" s="21">
        <v>331444793.86587399</v>
      </c>
      <c r="Z39" s="21">
        <v>300953430.8552537</v>
      </c>
      <c r="AA39" s="21">
        <v>276203994.87881094</v>
      </c>
      <c r="AB39" s="21">
        <v>236665668.72819003</v>
      </c>
      <c r="AC39" s="51">
        <v>77966219.159999996</v>
      </c>
      <c r="AD39" s="51">
        <v>62350041.695720889</v>
      </c>
      <c r="AE39" s="51">
        <v>155932438.31988233</v>
      </c>
      <c r="AF39" s="51">
        <v>114841924.09</v>
      </c>
      <c r="AG39" s="51">
        <v>155932438.31988233</v>
      </c>
      <c r="AH39" s="51">
        <v>105091109.31000002</v>
      </c>
      <c r="AI39" s="51">
        <v>12994369.859999999</v>
      </c>
      <c r="AJ39" s="51">
        <v>12994369.859999999</v>
      </c>
      <c r="AK39" s="51">
        <v>12994369.859999999</v>
      </c>
      <c r="AL39" s="51">
        <v>12994369.859999999</v>
      </c>
      <c r="AM39" s="51">
        <v>12994369.859999999</v>
      </c>
      <c r="AN39" s="51">
        <v>64971849.29982353</v>
      </c>
      <c r="AO39" s="51">
        <v>8509615.5600000005</v>
      </c>
      <c r="AP39" s="51">
        <v>7626048.5199999996</v>
      </c>
      <c r="AQ39" s="51">
        <v>8651717.7100000009</v>
      </c>
      <c r="AR39" s="51">
        <v>8047307.3200000003</v>
      </c>
      <c r="AS39" s="51">
        <v>7718144.3499999996</v>
      </c>
      <c r="AT39" s="51">
        <v>40552833.455713421</v>
      </c>
    </row>
    <row r="40" spans="2:46" s="25" customFormat="1" ht="12" customHeight="1" outlineLevel="2" x14ac:dyDescent="0.2">
      <c r="B40" s="22"/>
      <c r="C40" s="23"/>
      <c r="D40" s="26" t="s">
        <v>92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21"/>
      <c r="AA40" s="21"/>
      <c r="AB40" s="21"/>
      <c r="AC40" s="51">
        <v>0</v>
      </c>
      <c r="AD40" s="51">
        <v>0</v>
      </c>
      <c r="AE40" s="51">
        <v>98708572.563484177</v>
      </c>
      <c r="AF40" s="51">
        <v>35554912.299999997</v>
      </c>
      <c r="AG40" s="51">
        <v>98708572.566968367</v>
      </c>
      <c r="AH40" s="51">
        <v>21460544.959999997</v>
      </c>
      <c r="AI40" s="51">
        <v>8225714.3799999999</v>
      </c>
      <c r="AJ40" s="51">
        <v>8225714.3799999999</v>
      </c>
      <c r="AK40" s="51">
        <v>8225714.3799999999</v>
      </c>
      <c r="AL40" s="51">
        <v>8225714.3799999999</v>
      </c>
      <c r="AM40" s="51">
        <v>8225714.3799999999</v>
      </c>
      <c r="AN40" s="51">
        <v>41128571.910452567</v>
      </c>
      <c r="AO40" s="51">
        <v>1188600.07</v>
      </c>
      <c r="AP40" s="51">
        <v>984290.49</v>
      </c>
      <c r="AQ40" s="51">
        <v>1024356.33</v>
      </c>
      <c r="AR40" s="51">
        <v>864929.76</v>
      </c>
      <c r="AS40" s="51">
        <v>744087.97</v>
      </c>
      <c r="AT40" s="51">
        <v>4806264.6192495637</v>
      </c>
    </row>
    <row r="41" spans="2:46" s="25" customFormat="1" ht="12" customHeight="1" outlineLevel="2" x14ac:dyDescent="0.2">
      <c r="B41" s="22"/>
      <c r="C41" s="23"/>
      <c r="D41" s="26" t="s">
        <v>86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1">
        <v>0</v>
      </c>
      <c r="Z41" s="21">
        <v>15837842.470000016</v>
      </c>
      <c r="AA41" s="21">
        <v>0</v>
      </c>
      <c r="AB41" s="21">
        <v>115818931.64780834</v>
      </c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</row>
    <row r="42" spans="2:46" s="25" customFormat="1" ht="12" customHeight="1" outlineLevel="2" x14ac:dyDescent="0.2">
      <c r="B42" s="22"/>
      <c r="C42" s="23"/>
      <c r="D42" s="26" t="s">
        <v>68</v>
      </c>
      <c r="E42" s="27">
        <f>1195556+2796845+1984310+2725180+1329297.62+1924921.4+933774.72+1119072.33+1069.42</f>
        <v>14010026.490000002</v>
      </c>
      <c r="F42" s="18">
        <f>895349+212962+234950+84485+2174693.28+1228921.39+688446.62+682492.52+778758+138373.86</f>
        <v>7119431.6700000009</v>
      </c>
      <c r="G42" s="27">
        <f>8954688+2306130+1118436+1370682+594995+1328777+3026082+2205125</f>
        <v>20904915</v>
      </c>
      <c r="H42" s="18">
        <f>6727906+1469172+835220+726248+960394+162197+123849+206248+754188+103804</f>
        <v>12069226</v>
      </c>
      <c r="I42" s="27">
        <f>1448106+3281954+97273+12691684.14+2777970.34+1347316.58+2305880.03+1650984.09+1051140.51</f>
        <v>26652308.690000005</v>
      </c>
      <c r="J42" s="27">
        <f>160375.82+555700+929+8263637.23+1492818.58+860131.65+704772.8+979971.09+174393.62+139563.38</f>
        <v>13332293.170000002</v>
      </c>
      <c r="K42" s="27">
        <v>31124953.510000002</v>
      </c>
      <c r="L42" s="27">
        <v>11826855.509999998</v>
      </c>
      <c r="M42" s="27">
        <v>34397201.610000007</v>
      </c>
      <c r="N42" s="27">
        <v>9971817.9700000007</v>
      </c>
      <c r="O42" s="27">
        <v>34830110.869999997</v>
      </c>
      <c r="P42" s="27">
        <v>9354147.9199999999</v>
      </c>
      <c r="Q42" s="27">
        <v>34470305.150000006</v>
      </c>
      <c r="R42" s="27">
        <v>7545184.0899999989</v>
      </c>
      <c r="S42" s="27">
        <v>48744482.140000001</v>
      </c>
      <c r="T42" s="27">
        <v>6706695.6799999997</v>
      </c>
      <c r="U42" s="27">
        <v>52360382.629999995</v>
      </c>
      <c r="V42" s="27">
        <v>5115507.53</v>
      </c>
      <c r="W42" s="27">
        <v>44134803.440000005</v>
      </c>
      <c r="X42" s="27">
        <v>5144804.95</v>
      </c>
      <c r="Y42" s="21">
        <v>17666968.16</v>
      </c>
      <c r="Z42" s="21">
        <v>4712797.3099999996</v>
      </c>
      <c r="AA42" s="21">
        <v>23528468.740000002</v>
      </c>
      <c r="AB42" s="21">
        <v>4700876.5199999996</v>
      </c>
      <c r="AC42" s="51">
        <v>29741185.299999993</v>
      </c>
      <c r="AD42" s="51">
        <v>4651490.3800000008</v>
      </c>
      <c r="AE42" s="51">
        <v>25206569.649999995</v>
      </c>
      <c r="AF42" s="51">
        <v>5721010.1499999762</v>
      </c>
      <c r="AG42" s="51">
        <v>102410114.48000002</v>
      </c>
      <c r="AH42" s="51">
        <v>185351706.03999996</v>
      </c>
      <c r="AI42" s="51">
        <v>67060933.329999998</v>
      </c>
      <c r="AJ42" s="51">
        <v>67990918.459999993</v>
      </c>
      <c r="AK42" s="51">
        <v>69239341.560000002</v>
      </c>
      <c r="AL42" s="51">
        <v>70259381.030000001</v>
      </c>
      <c r="AM42" s="51">
        <v>71253459.379999995</v>
      </c>
      <c r="AN42" s="51">
        <v>345804033.75999999</v>
      </c>
      <c r="AO42" s="51">
        <v>27622755.959999993</v>
      </c>
      <c r="AP42" s="51">
        <v>30057001.830000002</v>
      </c>
      <c r="AQ42" s="51">
        <v>24798989.640000001</v>
      </c>
      <c r="AR42" s="51">
        <v>25679060.580000002</v>
      </c>
      <c r="AS42" s="51">
        <v>24977232.77</v>
      </c>
      <c r="AT42" s="51">
        <v>133135040.78</v>
      </c>
    </row>
    <row r="43" spans="2:46" s="25" customFormat="1" ht="12" customHeight="1" outlineLevel="2" x14ac:dyDescent="0.2">
      <c r="B43" s="22"/>
      <c r="C43" s="23"/>
      <c r="D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16998104.900000002</v>
      </c>
      <c r="M43" s="27">
        <v>44078369.400000006</v>
      </c>
      <c r="N43" s="27">
        <v>17306658.609999999</v>
      </c>
      <c r="O43" s="27">
        <v>33053801.108999997</v>
      </c>
      <c r="P43" s="27">
        <v>6386578.7400000002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/>
      <c r="X43" s="27"/>
      <c r="Y43" s="19"/>
      <c r="Z43" s="19"/>
      <c r="AA43" s="19"/>
      <c r="AB43" s="19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</row>
    <row r="44" spans="2:46" s="25" customFormat="1" ht="12" customHeight="1" outlineLevel="2" x14ac:dyDescent="0.2">
      <c r="B44" s="22"/>
      <c r="C44" s="23"/>
      <c r="D44" s="26" t="s">
        <v>40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22482613.120000001</v>
      </c>
      <c r="O44" s="27">
        <v>44733973.989999995</v>
      </c>
      <c r="P44" s="27">
        <v>9923986.9900000021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19">
        <v>0</v>
      </c>
      <c r="Z44" s="19">
        <v>0</v>
      </c>
      <c r="AA44" s="19">
        <v>0</v>
      </c>
      <c r="AB44" s="19">
        <v>0</v>
      </c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</row>
    <row r="45" spans="2:46" s="25" customFormat="1" ht="12" customHeight="1" outlineLevel="2" x14ac:dyDescent="0.2">
      <c r="B45" s="22"/>
      <c r="C45" s="23"/>
      <c r="D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9225371.2200000007</v>
      </c>
      <c r="P45" s="27">
        <v>12033092.890000001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19">
        <v>0</v>
      </c>
      <c r="Z45" s="19">
        <v>0</v>
      </c>
      <c r="AA45" s="19">
        <v>0</v>
      </c>
      <c r="AB45" s="19">
        <v>0</v>
      </c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</row>
    <row r="46" spans="2:46" s="25" customFormat="1" ht="12" customHeight="1" outlineLevel="2" x14ac:dyDescent="0.2">
      <c r="B46" s="22"/>
      <c r="C46" s="23"/>
      <c r="D46" s="26" t="s">
        <v>97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19"/>
      <c r="AA46" s="19"/>
      <c r="AB46" s="19"/>
      <c r="AC46" s="50"/>
      <c r="AD46" s="50"/>
      <c r="AE46" s="50">
        <v>0</v>
      </c>
      <c r="AF46" s="51">
        <v>467445241.69</v>
      </c>
      <c r="AG46" s="50">
        <v>661265900.50023806</v>
      </c>
      <c r="AH46" s="51">
        <v>1241607801.22</v>
      </c>
      <c r="AI46" s="51">
        <v>66126590.049999997</v>
      </c>
      <c r="AJ46" s="51">
        <v>66126590.049999997</v>
      </c>
      <c r="AK46" s="51">
        <v>66126590.049999997</v>
      </c>
      <c r="AL46" s="51">
        <v>0</v>
      </c>
      <c r="AM46" s="51">
        <v>0</v>
      </c>
      <c r="AN46" s="51">
        <v>198379770.15047619</v>
      </c>
      <c r="AO46" s="51">
        <v>70876834.409999996</v>
      </c>
      <c r="AP46" s="51">
        <v>53957938.719999999</v>
      </c>
      <c r="AQ46" s="51">
        <v>54024518.229999997</v>
      </c>
      <c r="AR46" s="51">
        <v>0</v>
      </c>
      <c r="AS46" s="51">
        <v>0</v>
      </c>
      <c r="AT46" s="51">
        <v>178859291.35999998</v>
      </c>
    </row>
    <row r="47" spans="2:46" s="25" customFormat="1" ht="12" customHeight="1" outlineLevel="2" x14ac:dyDescent="0.2">
      <c r="B47" s="22"/>
      <c r="C47" s="23"/>
      <c r="D47" s="54" t="s">
        <v>98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9"/>
      <c r="Z47" s="19"/>
      <c r="AA47" s="19"/>
      <c r="AB47" s="19"/>
      <c r="AC47" s="50"/>
      <c r="AD47" s="50"/>
      <c r="AE47" s="50"/>
      <c r="AF47" s="51"/>
      <c r="AG47" s="50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</row>
    <row r="48" spans="2:46" s="25" customFormat="1" ht="12" customHeight="1" outlineLevel="2" x14ac:dyDescent="0.2">
      <c r="B48" s="22"/>
      <c r="C48" s="23"/>
      <c r="D48" s="54" t="s">
        <v>113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19"/>
      <c r="AA48" s="19"/>
      <c r="AB48" s="19"/>
      <c r="AC48" s="50"/>
      <c r="AD48" s="50"/>
      <c r="AE48" s="50"/>
      <c r="AF48" s="51"/>
      <c r="AG48" s="50"/>
      <c r="AH48" s="51"/>
      <c r="AI48" s="51">
        <v>0</v>
      </c>
      <c r="AJ48" s="51">
        <v>0</v>
      </c>
      <c r="AK48" s="51">
        <v>0</v>
      </c>
      <c r="AL48" s="51"/>
      <c r="AM48" s="51"/>
      <c r="AN48" s="51"/>
      <c r="AO48" s="51">
        <v>0</v>
      </c>
      <c r="AP48" s="51">
        <v>0</v>
      </c>
      <c r="AQ48" s="51">
        <v>0</v>
      </c>
      <c r="AR48" s="51"/>
      <c r="AS48" s="51"/>
      <c r="AT48" s="51"/>
    </row>
    <row r="49" spans="2:46" s="25" customFormat="1" ht="12" customHeight="1" outlineLevel="1" x14ac:dyDescent="0.2">
      <c r="B49" s="28"/>
      <c r="C49" s="16"/>
      <c r="D49" s="1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8"/>
      <c r="V49" s="38"/>
      <c r="W49" s="38"/>
      <c r="X49" s="38"/>
      <c r="Y49" s="19"/>
      <c r="Z49" s="19"/>
      <c r="AA49" s="19"/>
      <c r="AB49" s="19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</row>
    <row r="50" spans="2:46" s="25" customFormat="1" ht="12" customHeight="1" outlineLevel="2" x14ac:dyDescent="0.2">
      <c r="B50" s="22"/>
      <c r="C50" s="23" t="s">
        <v>42</v>
      </c>
      <c r="D50" s="24"/>
      <c r="E50" s="18">
        <f>SUM(E51)</f>
        <v>320055</v>
      </c>
      <c r="F50" s="18">
        <f>SUM(F51:F52)</f>
        <v>76804</v>
      </c>
      <c r="G50" s="18">
        <f>SUM(G51)</f>
        <v>119485</v>
      </c>
      <c r="H50" s="18">
        <f>SUM(H51:H52)</f>
        <v>9367</v>
      </c>
      <c r="I50" s="18">
        <f>SUM(I51)</f>
        <v>725</v>
      </c>
      <c r="J50" s="18">
        <f>SUM(J51:J52)</f>
        <v>15.22</v>
      </c>
      <c r="K50" s="18">
        <f>SUM(K51)</f>
        <v>0</v>
      </c>
      <c r="L50" s="18">
        <f>SUM(L51:L52)</f>
        <v>0</v>
      </c>
      <c r="M50" s="18">
        <f>SUM(M51)</f>
        <v>0</v>
      </c>
      <c r="N50" s="18">
        <f>SUM(N51:N52)</f>
        <v>0</v>
      </c>
      <c r="O50" s="18">
        <f>SUM(O51)</f>
        <v>0</v>
      </c>
      <c r="P50" s="18">
        <f>SUM(P51:P52)</f>
        <v>0</v>
      </c>
      <c r="Q50" s="18">
        <f>SUM(Q51)</f>
        <v>0</v>
      </c>
      <c r="R50" s="18">
        <f t="shared" ref="R50:X50" si="10">SUM(R51:R52)</f>
        <v>17398.486106442288</v>
      </c>
      <c r="S50" s="18">
        <f t="shared" si="10"/>
        <v>32860000</v>
      </c>
      <c r="T50" s="18">
        <f t="shared" si="10"/>
        <v>2601039.9836842106</v>
      </c>
      <c r="U50" s="18">
        <f t="shared" si="10"/>
        <v>0</v>
      </c>
      <c r="V50" s="18">
        <f t="shared" si="10"/>
        <v>0</v>
      </c>
      <c r="W50" s="18">
        <f t="shared" si="10"/>
        <v>0</v>
      </c>
      <c r="X50" s="18">
        <f t="shared" si="10"/>
        <v>0</v>
      </c>
      <c r="Y50" s="19">
        <f t="shared" ref="Y50:AB50" si="11">SUM(Y51:Y52)</f>
        <v>0</v>
      </c>
      <c r="Z50" s="19">
        <f t="shared" si="11"/>
        <v>0</v>
      </c>
      <c r="AA50" s="19">
        <f t="shared" si="11"/>
        <v>0</v>
      </c>
      <c r="AB50" s="19">
        <f t="shared" si="11"/>
        <v>0</v>
      </c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</row>
    <row r="51" spans="2:46" s="25" customFormat="1" ht="12" customHeight="1" outlineLevel="2" x14ac:dyDescent="0.2">
      <c r="B51" s="22"/>
      <c r="C51" s="23"/>
      <c r="D51" s="26" t="s">
        <v>2</v>
      </c>
      <c r="E51" s="27">
        <v>320055</v>
      </c>
      <c r="F51" s="27">
        <v>76804</v>
      </c>
      <c r="G51" s="27">
        <v>119485</v>
      </c>
      <c r="H51" s="27">
        <v>9367</v>
      </c>
      <c r="I51" s="27">
        <v>725</v>
      </c>
      <c r="J51" s="27">
        <v>15.22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19">
        <v>0</v>
      </c>
      <c r="Z51" s="19">
        <v>0</v>
      </c>
      <c r="AA51" s="19">
        <v>0</v>
      </c>
      <c r="AB51" s="19">
        <v>0</v>
      </c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</row>
    <row r="52" spans="2:46" s="25" customFormat="1" ht="12" customHeight="1" outlineLevel="2" x14ac:dyDescent="0.2">
      <c r="B52" s="22"/>
      <c r="C52" s="23"/>
      <c r="D52" s="26" t="s">
        <v>63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17398.486106442288</v>
      </c>
      <c r="S52" s="27">
        <v>32860000</v>
      </c>
      <c r="T52" s="27">
        <v>2601039.9836842106</v>
      </c>
      <c r="U52" s="27">
        <v>0</v>
      </c>
      <c r="V52" s="27">
        <v>0</v>
      </c>
      <c r="W52" s="27">
        <v>0</v>
      </c>
      <c r="X52" s="27">
        <v>0</v>
      </c>
      <c r="Y52" s="19">
        <v>0</v>
      </c>
      <c r="Z52" s="19">
        <v>0</v>
      </c>
      <c r="AA52" s="19">
        <v>0</v>
      </c>
      <c r="AB52" s="19">
        <v>0</v>
      </c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</row>
    <row r="53" spans="2:46" s="25" customFormat="1" ht="12" customHeight="1" outlineLevel="1" x14ac:dyDescent="0.2">
      <c r="B53" s="28"/>
      <c r="C53" s="16"/>
      <c r="D53" s="1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38"/>
      <c r="Y53" s="19"/>
      <c r="Z53" s="19"/>
      <c r="AA53" s="19"/>
      <c r="AB53" s="19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</row>
    <row r="54" spans="2:46" s="25" customFormat="1" ht="12" customHeight="1" outlineLevel="2" x14ac:dyDescent="0.2">
      <c r="B54" s="22"/>
      <c r="C54" s="23" t="s">
        <v>43</v>
      </c>
      <c r="D54" s="24"/>
      <c r="E54" s="18">
        <f t="shared" ref="E54:P54" si="12">SUM(E55)</f>
        <v>683828</v>
      </c>
      <c r="F54" s="18">
        <f t="shared" si="12"/>
        <v>19771</v>
      </c>
      <c r="G54" s="18">
        <f t="shared" si="12"/>
        <v>552092</v>
      </c>
      <c r="H54" s="18">
        <f t="shared" si="12"/>
        <v>5243</v>
      </c>
      <c r="I54" s="18">
        <f t="shared" si="12"/>
        <v>200097</v>
      </c>
      <c r="J54" s="18">
        <f t="shared" si="12"/>
        <v>16156.2</v>
      </c>
      <c r="K54" s="18">
        <f t="shared" si="12"/>
        <v>0</v>
      </c>
      <c r="L54" s="18">
        <f t="shared" si="12"/>
        <v>0</v>
      </c>
      <c r="M54" s="18">
        <f t="shared" si="12"/>
        <v>0</v>
      </c>
      <c r="N54" s="18">
        <f t="shared" si="12"/>
        <v>0</v>
      </c>
      <c r="O54" s="18">
        <f t="shared" si="12"/>
        <v>0</v>
      </c>
      <c r="P54" s="18">
        <f t="shared" si="12"/>
        <v>0</v>
      </c>
      <c r="Q54" s="18">
        <f t="shared" ref="Q54:Z54" si="13">SUM(Q55)</f>
        <v>0</v>
      </c>
      <c r="R54" s="18">
        <f t="shared" si="13"/>
        <v>0</v>
      </c>
      <c r="S54" s="18">
        <f t="shared" si="13"/>
        <v>0</v>
      </c>
      <c r="T54" s="18">
        <f t="shared" si="13"/>
        <v>0</v>
      </c>
      <c r="U54" s="18">
        <f t="shared" si="13"/>
        <v>0</v>
      </c>
      <c r="V54" s="18">
        <f t="shared" si="13"/>
        <v>0</v>
      </c>
      <c r="W54" s="18">
        <f t="shared" si="13"/>
        <v>0</v>
      </c>
      <c r="X54" s="18">
        <f t="shared" si="13"/>
        <v>0</v>
      </c>
      <c r="Y54" s="19">
        <f t="shared" si="13"/>
        <v>0</v>
      </c>
      <c r="Z54" s="19">
        <f t="shared" si="13"/>
        <v>0</v>
      </c>
      <c r="AA54" s="19">
        <f>SUM(AA55)</f>
        <v>0</v>
      </c>
      <c r="AB54" s="19">
        <f>SUM(AB55)</f>
        <v>0</v>
      </c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</row>
    <row r="55" spans="2:46" s="25" customFormat="1" ht="12" customHeight="1" outlineLevel="1" x14ac:dyDescent="0.2">
      <c r="B55" s="28"/>
      <c r="C55" s="16"/>
      <c r="D55" s="55" t="s">
        <v>44</v>
      </c>
      <c r="E55" s="21">
        <v>683828</v>
      </c>
      <c r="F55" s="21">
        <v>19771</v>
      </c>
      <c r="G55" s="21">
        <v>552092</v>
      </c>
      <c r="H55" s="21">
        <v>5243</v>
      </c>
      <c r="I55" s="21">
        <v>200097</v>
      </c>
      <c r="J55" s="21">
        <v>16156.2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38">
        <v>0</v>
      </c>
      <c r="V55" s="38">
        <v>0</v>
      </c>
      <c r="W55" s="38">
        <v>0</v>
      </c>
      <c r="X55" s="38">
        <v>0</v>
      </c>
      <c r="Y55" s="19">
        <v>0</v>
      </c>
      <c r="Z55" s="19">
        <v>0</v>
      </c>
      <c r="AA55" s="19">
        <v>0</v>
      </c>
      <c r="AB55" s="19">
        <v>0</v>
      </c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</row>
    <row r="56" spans="2:46" s="25" customFormat="1" ht="12" customHeight="1" outlineLevel="1" x14ac:dyDescent="0.2">
      <c r="B56" s="28"/>
      <c r="C56" s="16"/>
      <c r="D56" s="1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38"/>
      <c r="Y56" s="19"/>
      <c r="Z56" s="19"/>
      <c r="AA56" s="19"/>
      <c r="AB56" s="19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</row>
    <row r="57" spans="2:46" s="25" customFormat="1" ht="12" customHeight="1" outlineLevel="2" x14ac:dyDescent="0.2">
      <c r="B57" s="22"/>
      <c r="C57" s="23" t="s">
        <v>45</v>
      </c>
      <c r="D57" s="24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9"/>
      <c r="V57" s="39"/>
      <c r="W57" s="39"/>
      <c r="X57" s="39"/>
      <c r="Y57" s="19"/>
      <c r="Z57" s="19"/>
      <c r="AA57" s="19"/>
      <c r="AB57" s="19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</row>
    <row r="58" spans="2:46" s="25" customFormat="1" ht="12" customHeight="1" x14ac:dyDescent="0.2">
      <c r="B58" s="22"/>
      <c r="C58" s="23"/>
      <c r="D58" s="2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/>
      <c r="V58" s="39"/>
      <c r="W58" s="39"/>
      <c r="X58" s="39"/>
      <c r="Y58" s="19"/>
      <c r="Z58" s="19"/>
      <c r="AA58" s="19"/>
      <c r="AB58" s="19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</row>
    <row r="59" spans="2:46" s="14" customFormat="1" ht="12" customHeight="1" x14ac:dyDescent="0.2">
      <c r="B59" s="22"/>
      <c r="C59" s="23"/>
      <c r="D59" s="26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39"/>
      <c r="V59" s="39"/>
      <c r="W59" s="39"/>
      <c r="X59" s="39"/>
      <c r="Y59" s="19"/>
      <c r="Z59" s="19"/>
      <c r="AA59" s="19"/>
      <c r="AB59" s="19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</row>
    <row r="60" spans="2:46" s="14" customFormat="1" ht="12" customHeight="1" outlineLevel="1" x14ac:dyDescent="0.2">
      <c r="B60" s="15" t="s">
        <v>46</v>
      </c>
      <c r="C60" s="16"/>
      <c r="D60" s="17"/>
      <c r="E60" s="18">
        <f t="shared" ref="E60:P60" si="14">+E62+E93+E106</f>
        <v>118384193</v>
      </c>
      <c r="F60" s="19">
        <f t="shared" si="14"/>
        <v>134365731.18000001</v>
      </c>
      <c r="G60" s="18">
        <f t="shared" si="14"/>
        <v>173677659</v>
      </c>
      <c r="H60" s="19">
        <f t="shared" si="14"/>
        <v>91166275</v>
      </c>
      <c r="I60" s="18">
        <f t="shared" si="14"/>
        <v>202942770.15000001</v>
      </c>
      <c r="J60" s="19">
        <f t="shared" si="14"/>
        <v>101402493.19</v>
      </c>
      <c r="K60" s="18">
        <f t="shared" si="14"/>
        <v>225527046.89053506</v>
      </c>
      <c r="L60" s="19">
        <f t="shared" si="14"/>
        <v>94056067.107459933</v>
      </c>
      <c r="M60" s="18">
        <f t="shared" si="14"/>
        <v>262443915.78548828</v>
      </c>
      <c r="N60" s="19">
        <f t="shared" si="14"/>
        <v>106216071.02666919</v>
      </c>
      <c r="O60" s="18">
        <f t="shared" si="14"/>
        <v>381146621.58684361</v>
      </c>
      <c r="P60" s="19">
        <f t="shared" si="14"/>
        <v>153393683.61339355</v>
      </c>
      <c r="Q60" s="18">
        <f t="shared" ref="Q60:AB60" si="15">+Q62+Q93+Q106+Q117</f>
        <v>366811620.61261851</v>
      </c>
      <c r="R60" s="19">
        <f t="shared" si="15"/>
        <v>453222671.758237</v>
      </c>
      <c r="S60" s="18">
        <f t="shared" si="15"/>
        <v>399569316.75778925</v>
      </c>
      <c r="T60" s="19">
        <f t="shared" si="15"/>
        <v>479592787.39539659</v>
      </c>
      <c r="U60" s="19">
        <f t="shared" si="15"/>
        <v>1629586790.1164184</v>
      </c>
      <c r="V60" s="19">
        <f t="shared" si="15"/>
        <v>648347714.94889045</v>
      </c>
      <c r="W60" s="19">
        <f t="shared" si="15"/>
        <v>728152507.48090005</v>
      </c>
      <c r="X60" s="19">
        <f t="shared" si="15"/>
        <v>795821531.49142945</v>
      </c>
      <c r="Y60" s="19">
        <f t="shared" si="15"/>
        <v>820797849.98000002</v>
      </c>
      <c r="Z60" s="19">
        <f t="shared" si="15"/>
        <v>857620447.29399991</v>
      </c>
      <c r="AA60" s="19">
        <f t="shared" si="15"/>
        <v>1006162317.1299999</v>
      </c>
      <c r="AB60" s="19">
        <f t="shared" si="15"/>
        <v>1795595308.5929406</v>
      </c>
      <c r="AC60" s="50">
        <v>8115976742.001894</v>
      </c>
      <c r="AD60" s="50">
        <v>2592037314.7822881</v>
      </c>
      <c r="AE60" s="50">
        <v>1204900017.2800002</v>
      </c>
      <c r="AF60" s="50">
        <v>5004132173.0587234</v>
      </c>
      <c r="AG60" s="50">
        <v>4452505966.7800007</v>
      </c>
      <c r="AH60" s="50">
        <v>8522330083.5031033</v>
      </c>
      <c r="AI60" s="50">
        <v>739000740.64530003</v>
      </c>
      <c r="AJ60" s="50">
        <v>433592278.1287303</v>
      </c>
      <c r="AK60" s="50">
        <f>+AK62+AK93+AK106+AK117</f>
        <v>67881545.866816849</v>
      </c>
      <c r="AL60" s="50">
        <v>690306104.22618818</v>
      </c>
      <c r="AM60" s="50">
        <v>2452237114.4920712</v>
      </c>
      <c r="AN60" s="50">
        <v>4383017783.3594084</v>
      </c>
      <c r="AO60" s="50">
        <v>1312270512.2744</v>
      </c>
      <c r="AP60" s="50">
        <v>1229086440.2012699</v>
      </c>
      <c r="AQ60" s="50">
        <f>+AQ62+AQ93+AQ106+AQ117</f>
        <v>4075039.2</v>
      </c>
      <c r="AR60" s="50">
        <v>332875293.03381008</v>
      </c>
      <c r="AS60" s="50">
        <v>790027894.35726464</v>
      </c>
      <c r="AT60" s="50">
        <v>3668335179.0705919</v>
      </c>
    </row>
    <row r="61" spans="2:46" s="25" customFormat="1" ht="12" customHeight="1" outlineLevel="1" x14ac:dyDescent="0.2">
      <c r="B61" s="28"/>
      <c r="C61" s="16"/>
      <c r="D61" s="1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38"/>
      <c r="Y61" s="19"/>
      <c r="Z61" s="19"/>
      <c r="AA61" s="19"/>
      <c r="AB61" s="19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</row>
    <row r="62" spans="2:46" s="25" customFormat="1" ht="12" customHeight="1" outlineLevel="2" x14ac:dyDescent="0.2">
      <c r="B62" s="22"/>
      <c r="C62" s="23" t="s">
        <v>47</v>
      </c>
      <c r="D62" s="24"/>
      <c r="E62" s="18">
        <f>SUM(E63:E83)</f>
        <v>117177582</v>
      </c>
      <c r="F62" s="18">
        <f>SUM(F63:F83)</f>
        <v>118199068.42000002</v>
      </c>
      <c r="G62" s="18">
        <f t="shared" ref="G62:L62" si="16">SUM(G63:G81)</f>
        <v>173677659</v>
      </c>
      <c r="H62" s="18">
        <f t="shared" si="16"/>
        <v>80122011</v>
      </c>
      <c r="I62" s="18">
        <f t="shared" si="16"/>
        <v>189408937.81999999</v>
      </c>
      <c r="J62" s="18">
        <f t="shared" si="16"/>
        <v>91556506.849999994</v>
      </c>
      <c r="K62" s="18">
        <f t="shared" si="16"/>
        <v>189273288.42353505</v>
      </c>
      <c r="L62" s="18">
        <f t="shared" si="16"/>
        <v>86801042.04068993</v>
      </c>
      <c r="M62" s="18">
        <f>SUM(M63:M83)</f>
        <v>214537959.23948827</v>
      </c>
      <c r="N62" s="18">
        <f>SUM(N63:N83)</f>
        <v>93616141.288039193</v>
      </c>
      <c r="O62" s="18">
        <f t="shared" ref="O62:V62" si="17">SUM(O63:O87)</f>
        <v>229622464.46084359</v>
      </c>
      <c r="P62" s="18">
        <f t="shared" si="17"/>
        <v>82715614.444843546</v>
      </c>
      <c r="Q62" s="18">
        <f t="shared" si="17"/>
        <v>237693591.27524999</v>
      </c>
      <c r="R62" s="18">
        <f t="shared" si="17"/>
        <v>81131765.899000019</v>
      </c>
      <c r="S62" s="18">
        <f t="shared" si="17"/>
        <v>264542454.51999998</v>
      </c>
      <c r="T62" s="18">
        <f t="shared" si="17"/>
        <v>83674997.389999986</v>
      </c>
      <c r="U62" s="18">
        <f t="shared" si="17"/>
        <v>368888198.97999996</v>
      </c>
      <c r="V62" s="18">
        <f t="shared" si="17"/>
        <v>91812253.169999987</v>
      </c>
      <c r="W62" s="18">
        <f t="shared" ref="W62:Z62" si="18">SUM(W63:W87)</f>
        <v>557436294.87</v>
      </c>
      <c r="X62" s="18">
        <f t="shared" si="18"/>
        <v>126223598.67</v>
      </c>
      <c r="Y62" s="19">
        <f t="shared" si="18"/>
        <v>625975400.07000005</v>
      </c>
      <c r="Z62" s="19">
        <f t="shared" si="18"/>
        <v>130202566.05000001</v>
      </c>
      <c r="AA62" s="19">
        <f>SUM(AA63:AA87)</f>
        <v>687484940.4799999</v>
      </c>
      <c r="AB62" s="19">
        <f>SUM(AB63:AB87)</f>
        <v>200213885.80999997</v>
      </c>
      <c r="AC62" s="50">
        <v>787940432.31000006</v>
      </c>
      <c r="AD62" s="50">
        <v>275273821.37</v>
      </c>
      <c r="AE62" s="50">
        <v>1141894519.8900001</v>
      </c>
      <c r="AF62" s="50">
        <v>851263227.88</v>
      </c>
      <c r="AG62" s="50">
        <v>2636182326.3500004</v>
      </c>
      <c r="AH62" s="50">
        <v>1636818959.96</v>
      </c>
      <c r="AI62" s="50">
        <v>165368686.65529999</v>
      </c>
      <c r="AJ62" s="50">
        <v>423159680.57873029</v>
      </c>
      <c r="AK62" s="50">
        <v>57096155.156816848</v>
      </c>
      <c r="AL62" s="50">
        <v>56363585.266188182</v>
      </c>
      <c r="AM62" s="50">
        <v>2408462809.3220711</v>
      </c>
      <c r="AN62" s="50">
        <v>3110450916.9794078</v>
      </c>
      <c r="AO62" s="50">
        <v>62533651.994399995</v>
      </c>
      <c r="AP62" s="50">
        <v>46124322.101269715</v>
      </c>
      <c r="AQ62" s="50">
        <f>+AQ66</f>
        <v>1533120.89</v>
      </c>
      <c r="AR62" s="50">
        <v>30731417.55381006</v>
      </c>
      <c r="AS62" s="50">
        <v>751710468.43822551</v>
      </c>
      <c r="AT62" s="50">
        <v>892632980.98059213</v>
      </c>
    </row>
    <row r="63" spans="2:46" s="25" customFormat="1" ht="12" customHeight="1" outlineLevel="2" x14ac:dyDescent="0.2">
      <c r="B63" s="22"/>
      <c r="C63" s="23"/>
      <c r="D63" s="26" t="s">
        <v>6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1">
        <v>0</v>
      </c>
      <c r="Z63" s="21">
        <v>0</v>
      </c>
      <c r="AA63" s="21">
        <v>0</v>
      </c>
      <c r="AB63" s="21">
        <v>0</v>
      </c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</row>
    <row r="64" spans="2:46" s="25" customFormat="1" ht="12" customHeight="1" outlineLevel="2" x14ac:dyDescent="0.2">
      <c r="B64" s="22"/>
      <c r="C64" s="23"/>
      <c r="D64" s="26" t="s">
        <v>15</v>
      </c>
      <c r="E64" s="27">
        <v>9043891</v>
      </c>
      <c r="F64" s="27">
        <v>7920527</v>
      </c>
      <c r="G64" s="27">
        <v>9016342</v>
      </c>
      <c r="H64" s="27">
        <v>1951496</v>
      </c>
      <c r="I64" s="27">
        <v>9170201</v>
      </c>
      <c r="J64" s="27">
        <v>1496521</v>
      </c>
      <c r="K64" s="27">
        <v>10477893.4166</v>
      </c>
      <c r="L64" s="27">
        <v>1412903.2179</v>
      </c>
      <c r="M64" s="27">
        <v>12223093.59365</v>
      </c>
      <c r="N64" s="27">
        <v>1185861.62843</v>
      </c>
      <c r="O64" s="27">
        <v>12821572.199999999</v>
      </c>
      <c r="P64" s="27">
        <v>795884.04980000004</v>
      </c>
      <c r="Q64" s="27">
        <v>6683185.2052499996</v>
      </c>
      <c r="R64" s="27">
        <v>161289.68900000001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1">
        <v>0</v>
      </c>
      <c r="Z64" s="21">
        <v>0</v>
      </c>
      <c r="AA64" s="21">
        <v>0</v>
      </c>
      <c r="AB64" s="21">
        <v>0</v>
      </c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</row>
    <row r="65" spans="2:46" s="25" customFormat="1" ht="12" customHeight="1" outlineLevel="2" x14ac:dyDescent="0.2">
      <c r="B65" s="22"/>
      <c r="C65" s="23"/>
      <c r="D65" s="26" t="s">
        <v>14</v>
      </c>
      <c r="E65" s="27">
        <v>0</v>
      </c>
      <c r="F65" s="27">
        <f>11227601+128803.46</f>
        <v>11356404.460000001</v>
      </c>
      <c r="G65" s="27">
        <v>10891913</v>
      </c>
      <c r="H65" s="27">
        <f>3372094+130627</f>
        <v>3502721</v>
      </c>
      <c r="I65" s="27">
        <v>11096124</v>
      </c>
      <c r="J65" s="27">
        <f>2568648+138799.06</f>
        <v>2707447.06</v>
      </c>
      <c r="K65" s="27">
        <v>11068777.572251117</v>
      </c>
      <c r="L65" s="27">
        <v>2158096.6792411795</v>
      </c>
      <c r="M65" s="27">
        <v>13031352.795838274</v>
      </c>
      <c r="N65" s="27">
        <v>1666498.4042092194</v>
      </c>
      <c r="O65" s="27">
        <v>17391791.734543562</v>
      </c>
      <c r="P65" s="27">
        <v>1300213.5488635267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1">
        <v>0</v>
      </c>
      <c r="Z65" s="21">
        <v>0</v>
      </c>
      <c r="AA65" s="21">
        <v>0</v>
      </c>
      <c r="AB65" s="21">
        <v>0</v>
      </c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</row>
    <row r="66" spans="2:46" s="25" customFormat="1" ht="12" customHeight="1" outlineLevel="2" x14ac:dyDescent="0.2">
      <c r="B66" s="22"/>
      <c r="C66" s="23"/>
      <c r="D66" s="26" t="s">
        <v>48</v>
      </c>
      <c r="E66" s="27">
        <v>0</v>
      </c>
      <c r="F66" s="27">
        <f>451859+278050.6</f>
        <v>729909.6</v>
      </c>
      <c r="G66" s="27">
        <v>0</v>
      </c>
      <c r="H66" s="27">
        <f>2504+1104585</f>
        <v>1107089</v>
      </c>
      <c r="I66" s="27">
        <v>0</v>
      </c>
      <c r="J66" s="27">
        <f>2759+2118443.97</f>
        <v>2121202.9700000002</v>
      </c>
      <c r="K66" s="27">
        <v>6791170.7699999996</v>
      </c>
      <c r="L66" s="27">
        <v>3409016.9441383267</v>
      </c>
      <c r="M66" s="27">
        <v>6864876.8900000006</v>
      </c>
      <c r="N66" s="27">
        <v>4308121.74</v>
      </c>
      <c r="O66" s="27">
        <v>7127009.8100000005</v>
      </c>
      <c r="P66" s="27">
        <v>3578752.32</v>
      </c>
      <c r="Q66" s="27">
        <v>7524835.6699999999</v>
      </c>
      <c r="R66" s="27">
        <v>3795603.64</v>
      </c>
      <c r="S66" s="27">
        <v>8289940.3899999997</v>
      </c>
      <c r="T66" s="27">
        <v>3706698.8</v>
      </c>
      <c r="U66" s="27">
        <v>9740139.129999999</v>
      </c>
      <c r="V66" s="27">
        <v>3652982.05</v>
      </c>
      <c r="W66" s="27">
        <v>14867051.859999999</v>
      </c>
      <c r="X66" s="27">
        <v>5044816.05</v>
      </c>
      <c r="Y66" s="21">
        <v>16496930.73</v>
      </c>
      <c r="Z66" s="21">
        <v>4703853.59</v>
      </c>
      <c r="AA66" s="21">
        <v>27228564.469999999</v>
      </c>
      <c r="AB66" s="21">
        <v>6713957.5</v>
      </c>
      <c r="AC66" s="51">
        <v>29903939.850000001</v>
      </c>
      <c r="AD66" s="51">
        <v>5354361.3</v>
      </c>
      <c r="AE66" s="51">
        <v>52594410.240000002</v>
      </c>
      <c r="AF66" s="51">
        <v>6186634.9000000004</v>
      </c>
      <c r="AG66" s="51">
        <v>88616102.670000002</v>
      </c>
      <c r="AH66" s="51">
        <v>5784310.3300000001</v>
      </c>
      <c r="AI66" s="51">
        <v>0</v>
      </c>
      <c r="AJ66" s="51">
        <v>0</v>
      </c>
      <c r="AK66" s="51">
        <v>57096155.156816848</v>
      </c>
      <c r="AL66" s="51">
        <v>0</v>
      </c>
      <c r="AM66" s="51">
        <v>0</v>
      </c>
      <c r="AN66" s="51">
        <v>57096155.159999996</v>
      </c>
      <c r="AO66" s="51">
        <v>0</v>
      </c>
      <c r="AP66" s="51">
        <v>0</v>
      </c>
      <c r="AQ66" s="51">
        <v>1533120.89</v>
      </c>
      <c r="AR66" s="51">
        <v>0</v>
      </c>
      <c r="AS66" s="51">
        <v>0</v>
      </c>
      <c r="AT66" s="51">
        <v>1533120.89</v>
      </c>
    </row>
    <row r="67" spans="2:46" s="25" customFormat="1" ht="12" customHeight="1" outlineLevel="2" x14ac:dyDescent="0.2">
      <c r="B67" s="22"/>
      <c r="C67" s="23"/>
      <c r="D67" s="26" t="s">
        <v>49</v>
      </c>
      <c r="E67" s="27">
        <v>0</v>
      </c>
      <c r="F67" s="27">
        <f>16255475.49+12100276</f>
        <v>28355751.490000002</v>
      </c>
      <c r="G67" s="27">
        <v>36379973</v>
      </c>
      <c r="H67" s="27">
        <f>4207457+23859752</f>
        <v>28067209</v>
      </c>
      <c r="I67" s="27">
        <v>41889434</v>
      </c>
      <c r="J67" s="27">
        <f>3013305+31147759.15</f>
        <v>34161064.149999999</v>
      </c>
      <c r="K67" s="27">
        <v>41695171.539999999</v>
      </c>
      <c r="L67" s="27">
        <v>32322063.07</v>
      </c>
      <c r="M67" s="27">
        <v>49151366.090000004</v>
      </c>
      <c r="N67" s="27">
        <v>31152750.249999996</v>
      </c>
      <c r="O67" s="27">
        <v>52270808.570000008</v>
      </c>
      <c r="P67" s="27">
        <v>33782826.18</v>
      </c>
      <c r="Q67" s="27">
        <v>54897876.450000003</v>
      </c>
      <c r="R67" s="27">
        <v>32171890.259999998</v>
      </c>
      <c r="S67" s="27">
        <v>59977473.979999997</v>
      </c>
      <c r="T67" s="27">
        <v>30916452.649999999</v>
      </c>
      <c r="U67" s="27">
        <v>70530963.140000001</v>
      </c>
      <c r="V67" s="27">
        <v>32989229.469999999</v>
      </c>
      <c r="W67" s="27">
        <v>108665806.53</v>
      </c>
      <c r="X67" s="27">
        <v>45745171.850000001</v>
      </c>
      <c r="Y67" s="21">
        <v>120121312.94</v>
      </c>
      <c r="Z67" s="21">
        <v>44060668.520000003</v>
      </c>
      <c r="AA67" s="21">
        <v>195011926.12</v>
      </c>
      <c r="AB67" s="21">
        <v>64690409.049999997</v>
      </c>
      <c r="AC67" s="51">
        <v>224165908.20999998</v>
      </c>
      <c r="AD67" s="51">
        <v>58932197.18</v>
      </c>
      <c r="AE67" s="51">
        <v>318196905.97000003</v>
      </c>
      <c r="AF67" s="51">
        <v>63808830.590000004</v>
      </c>
      <c r="AG67" s="51">
        <v>567032895.32999992</v>
      </c>
      <c r="AH67" s="51">
        <v>83539593.449999988</v>
      </c>
      <c r="AI67" s="51">
        <v>0</v>
      </c>
      <c r="AJ67" s="51">
        <v>417529034.01459181</v>
      </c>
      <c r="AK67" s="51">
        <v>0</v>
      </c>
      <c r="AL67" s="51">
        <v>0</v>
      </c>
      <c r="AM67" s="51">
        <v>0</v>
      </c>
      <c r="AN67" s="51">
        <v>417529034.00999999</v>
      </c>
      <c r="AO67" s="51">
        <v>0</v>
      </c>
      <c r="AP67" s="51">
        <v>45359356.835408188</v>
      </c>
      <c r="AQ67" s="51">
        <v>0</v>
      </c>
      <c r="AR67" s="51">
        <v>0</v>
      </c>
      <c r="AS67" s="51">
        <v>0</v>
      </c>
      <c r="AT67" s="51">
        <v>45359356.840000004</v>
      </c>
    </row>
    <row r="68" spans="2:46" s="25" customFormat="1" ht="12" customHeight="1" outlineLevel="2" x14ac:dyDescent="0.2">
      <c r="B68" s="22"/>
      <c r="C68" s="23"/>
      <c r="D68" s="26" t="s">
        <v>70</v>
      </c>
      <c r="E68" s="27">
        <v>0</v>
      </c>
      <c r="F68" s="27">
        <f>200447.39</f>
        <v>200447.39</v>
      </c>
      <c r="G68" s="27">
        <v>0</v>
      </c>
      <c r="H68" s="27">
        <v>0</v>
      </c>
      <c r="I68" s="27">
        <v>529653.93999999994</v>
      </c>
      <c r="J68" s="27">
        <v>775907.62</v>
      </c>
      <c r="K68" s="27">
        <v>1125367.96</v>
      </c>
      <c r="L68" s="27">
        <v>984560.64679999999</v>
      </c>
      <c r="M68" s="27">
        <v>1328715.21</v>
      </c>
      <c r="N68" s="27">
        <v>973917.15</v>
      </c>
      <c r="O68" s="27">
        <v>1385538.49</v>
      </c>
      <c r="P68" s="27">
        <v>1047219.33</v>
      </c>
      <c r="Q68" s="27">
        <v>1464806.58</v>
      </c>
      <c r="R68" s="27">
        <v>1012846.85</v>
      </c>
      <c r="S68" s="27">
        <v>1603604.39</v>
      </c>
      <c r="T68" s="27">
        <v>1017226.35</v>
      </c>
      <c r="U68" s="27">
        <v>968932.61</v>
      </c>
      <c r="V68" s="27">
        <v>483268.35</v>
      </c>
      <c r="W68" s="27">
        <v>1482350</v>
      </c>
      <c r="X68" s="27">
        <v>675153.79</v>
      </c>
      <c r="Y68" s="21"/>
      <c r="Z68" s="21"/>
      <c r="AA68" s="21"/>
      <c r="AB68" s="2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</row>
    <row r="69" spans="2:46" s="25" customFormat="1" ht="12" customHeight="1" outlineLevel="2" x14ac:dyDescent="0.2">
      <c r="B69" s="22"/>
      <c r="C69" s="23"/>
      <c r="D69" s="26" t="s">
        <v>106</v>
      </c>
      <c r="E69" s="27">
        <v>0</v>
      </c>
      <c r="F69" s="27">
        <v>0</v>
      </c>
      <c r="G69" s="27">
        <v>0</v>
      </c>
      <c r="H69" s="27">
        <v>436861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963977.84</v>
      </c>
      <c r="V69" s="27">
        <v>593240.55000000005</v>
      </c>
      <c r="W69" s="27">
        <v>1424597.79</v>
      </c>
      <c r="X69" s="27">
        <v>854607.3</v>
      </c>
      <c r="Y69" s="21">
        <v>3224273.19</v>
      </c>
      <c r="Z69" s="21">
        <v>1524412.88</v>
      </c>
      <c r="AA69" s="21">
        <v>5273571.07</v>
      </c>
      <c r="AB69" s="21">
        <v>2326745.19</v>
      </c>
      <c r="AC69" s="51">
        <v>5819146.0800000001</v>
      </c>
      <c r="AD69" s="51">
        <v>2170056.8299999996</v>
      </c>
      <c r="AE69" s="51">
        <v>9450858.6000000015</v>
      </c>
      <c r="AF69" s="51">
        <v>2842216.76</v>
      </c>
      <c r="AG69" s="51">
        <v>17534791.960000001</v>
      </c>
      <c r="AH69" s="51">
        <v>4252219</v>
      </c>
      <c r="AI69" s="51">
        <v>0</v>
      </c>
      <c r="AJ69" s="51">
        <v>5630646.5641384702</v>
      </c>
      <c r="AK69" s="51">
        <v>0</v>
      </c>
      <c r="AL69" s="51">
        <v>0</v>
      </c>
      <c r="AM69" s="51">
        <v>5778686.6726633925</v>
      </c>
      <c r="AN69" s="51">
        <v>11409333.23</v>
      </c>
      <c r="AO69" s="51">
        <v>0</v>
      </c>
      <c r="AP69" s="51">
        <v>764965.26586152951</v>
      </c>
      <c r="AQ69" s="51">
        <v>0</v>
      </c>
      <c r="AR69" s="51">
        <v>0</v>
      </c>
      <c r="AS69" s="51">
        <v>1561622.8076333217</v>
      </c>
      <c r="AT69" s="51">
        <v>2326588.08</v>
      </c>
    </row>
    <row r="70" spans="2:46" s="25" customFormat="1" ht="12" customHeight="1" outlineLevel="2" x14ac:dyDescent="0.2">
      <c r="B70" s="22"/>
      <c r="C70" s="23"/>
      <c r="D70" s="26" t="s">
        <v>71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2313951.2999999998</v>
      </c>
      <c r="K70" s="27">
        <v>0</v>
      </c>
      <c r="L70" s="27">
        <v>12898744.640000001</v>
      </c>
      <c r="M70" s="27">
        <v>0</v>
      </c>
      <c r="N70" s="27">
        <v>24244374.810000002</v>
      </c>
      <c r="O70" s="27">
        <v>0</v>
      </c>
      <c r="P70" s="27">
        <v>30320268.960000001</v>
      </c>
      <c r="Q70" s="27">
        <v>35414069</v>
      </c>
      <c r="R70" s="27">
        <v>33043079.780000001</v>
      </c>
      <c r="S70" s="27">
        <v>39495214.799999997</v>
      </c>
      <c r="T70" s="27">
        <v>34042969.239999995</v>
      </c>
      <c r="U70" s="27">
        <v>47881189.849999994</v>
      </c>
      <c r="V70" s="27">
        <v>40042500.900000006</v>
      </c>
      <c r="W70" s="27">
        <v>70772044.909999996</v>
      </c>
      <c r="X70" s="27">
        <v>56402839.150000006</v>
      </c>
      <c r="Y70" s="21">
        <v>79436193.180000007</v>
      </c>
      <c r="Z70" s="21">
        <v>59901361.439999998</v>
      </c>
      <c r="AA70" s="21">
        <v>124968108.97999999</v>
      </c>
      <c r="AB70" s="21">
        <v>98565001.270000011</v>
      </c>
      <c r="AC70" s="51">
        <v>141561093.81</v>
      </c>
      <c r="AD70" s="51">
        <v>100155615.88</v>
      </c>
      <c r="AE70" s="51">
        <v>249773351.59</v>
      </c>
      <c r="AF70" s="51">
        <v>171105627.84999999</v>
      </c>
      <c r="AG70" s="51">
        <v>448480539.75</v>
      </c>
      <c r="AH70" s="51">
        <v>290729315.35000002</v>
      </c>
      <c r="AI70" s="51">
        <v>0</v>
      </c>
      <c r="AJ70" s="51">
        <v>0</v>
      </c>
      <c r="AK70" s="51">
        <v>0</v>
      </c>
      <c r="AL70" s="51">
        <v>0</v>
      </c>
      <c r="AM70" s="51">
        <v>289178587.6494078</v>
      </c>
      <c r="AN70" s="51">
        <v>289178587.6494078</v>
      </c>
      <c r="AO70" s="51">
        <v>0</v>
      </c>
      <c r="AP70" s="51">
        <v>0</v>
      </c>
      <c r="AQ70" s="51">
        <v>0</v>
      </c>
      <c r="AR70" s="51">
        <v>0</v>
      </c>
      <c r="AS70" s="51">
        <v>169103624.83059216</v>
      </c>
      <c r="AT70" s="51">
        <v>169103624.83059216</v>
      </c>
    </row>
    <row r="71" spans="2:46" s="25" customFormat="1" ht="12" customHeight="1" outlineLevel="2" x14ac:dyDescent="0.2">
      <c r="B71" s="22"/>
      <c r="C71" s="23"/>
      <c r="D71" s="26" t="s">
        <v>50</v>
      </c>
      <c r="E71" s="27">
        <v>0</v>
      </c>
      <c r="F71" s="27">
        <v>0</v>
      </c>
      <c r="G71" s="27">
        <v>869</v>
      </c>
      <c r="H71" s="27">
        <v>29939</v>
      </c>
      <c r="I71" s="27">
        <v>573486.49</v>
      </c>
      <c r="J71" s="27">
        <v>141500.65</v>
      </c>
      <c r="K71" s="27">
        <v>1137244.52</v>
      </c>
      <c r="L71" s="27">
        <v>310489.44</v>
      </c>
      <c r="M71" s="27">
        <v>2041335.52</v>
      </c>
      <c r="N71" s="27">
        <v>332992.28000000003</v>
      </c>
      <c r="O71" s="27">
        <v>1455967.43</v>
      </c>
      <c r="P71" s="27">
        <v>104300.43</v>
      </c>
      <c r="Q71" s="27">
        <v>1535832.17</v>
      </c>
      <c r="R71" s="27">
        <v>58946.58</v>
      </c>
      <c r="S71" s="27">
        <v>825146.36</v>
      </c>
      <c r="T71" s="27">
        <v>12631.29</v>
      </c>
      <c r="U71" s="27">
        <v>0</v>
      </c>
      <c r="V71" s="27">
        <v>0</v>
      </c>
      <c r="W71" s="27">
        <v>0</v>
      </c>
      <c r="X71" s="27">
        <v>750057.09</v>
      </c>
      <c r="Y71" s="21">
        <v>7374004.2599999998</v>
      </c>
      <c r="Z71" s="21">
        <v>671027.07999999996</v>
      </c>
      <c r="AA71" s="21">
        <v>11774599.58</v>
      </c>
      <c r="AB71" s="21">
        <v>1014795.54</v>
      </c>
      <c r="AC71" s="51">
        <v>20685669.789999999</v>
      </c>
      <c r="AD71" s="51">
        <v>1097997.19</v>
      </c>
      <c r="AE71" s="51">
        <v>27494876.210000001</v>
      </c>
      <c r="AF71" s="51">
        <v>487250.15</v>
      </c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</row>
    <row r="72" spans="2:46" s="25" customFormat="1" ht="12" customHeight="1" outlineLevel="2" x14ac:dyDescent="0.2">
      <c r="B72" s="22"/>
      <c r="C72" s="23"/>
      <c r="D72" s="26" t="s">
        <v>51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329197.89</v>
      </c>
      <c r="P72" s="27">
        <v>66946.84</v>
      </c>
      <c r="Q72" s="27">
        <v>2300144.37</v>
      </c>
      <c r="R72" s="27">
        <v>332231.15000000002</v>
      </c>
      <c r="S72" s="27">
        <v>1874196.61</v>
      </c>
      <c r="T72" s="27">
        <v>280402.21000000002</v>
      </c>
      <c r="U72" s="27">
        <v>6648549.0899999999</v>
      </c>
      <c r="V72" s="27">
        <v>949981.24</v>
      </c>
      <c r="W72" s="27">
        <v>6674770.3499999996</v>
      </c>
      <c r="X72" s="27">
        <v>0</v>
      </c>
      <c r="Y72" s="21"/>
      <c r="Z72" s="21"/>
      <c r="AA72" s="21"/>
      <c r="AB72" s="2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</row>
    <row r="73" spans="2:46" s="25" customFormat="1" ht="12" customHeight="1" outlineLevel="2" x14ac:dyDescent="0.2">
      <c r="B73" s="22"/>
      <c r="C73" s="23"/>
      <c r="D73" s="26" t="s">
        <v>52</v>
      </c>
      <c r="E73" s="27">
        <v>16952258</v>
      </c>
      <c r="F73" s="27">
        <v>7580334</v>
      </c>
      <c r="G73" s="27">
        <v>7119591</v>
      </c>
      <c r="H73" s="27">
        <v>651538</v>
      </c>
      <c r="I73" s="27">
        <v>7915301</v>
      </c>
      <c r="J73" s="27">
        <v>376419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1">
        <v>0</v>
      </c>
      <c r="Z73" s="21">
        <v>0</v>
      </c>
      <c r="AA73" s="21">
        <v>0</v>
      </c>
      <c r="AB73" s="21">
        <v>0</v>
      </c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</row>
    <row r="74" spans="2:46" s="25" customFormat="1" ht="12" customHeight="1" outlineLevel="2" x14ac:dyDescent="0.2">
      <c r="B74" s="22"/>
      <c r="C74" s="23"/>
      <c r="D74" s="26" t="s">
        <v>13</v>
      </c>
      <c r="E74" s="27">
        <v>35634474</v>
      </c>
      <c r="F74" s="27">
        <f>17969.19+11972889</f>
        <v>11990858.189999999</v>
      </c>
      <c r="G74" s="27">
        <v>5067227</v>
      </c>
      <c r="H74" s="27">
        <f>1053484+13266</f>
        <v>1066750</v>
      </c>
      <c r="I74" s="27">
        <v>15403202</v>
      </c>
      <c r="J74" s="27">
        <f>2968596+48796.53</f>
        <v>3017392.53</v>
      </c>
      <c r="K74" s="27">
        <v>10618533.84577113</v>
      </c>
      <c r="L74" s="27">
        <v>1052044.8835927499</v>
      </c>
      <c r="M74" s="27">
        <v>6158155.5599999996</v>
      </c>
      <c r="N74" s="27">
        <v>325808.87</v>
      </c>
      <c r="O74" s="27">
        <v>11999193.7863</v>
      </c>
      <c r="P74" s="27">
        <v>173955.98618000001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1">
        <v>0</v>
      </c>
      <c r="Z74" s="21">
        <v>0</v>
      </c>
      <c r="AA74" s="21">
        <v>0</v>
      </c>
      <c r="AB74" s="21">
        <v>0</v>
      </c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</row>
    <row r="75" spans="2:46" s="25" customFormat="1" ht="12" customHeight="1" outlineLevel="2" x14ac:dyDescent="0.2">
      <c r="B75" s="22"/>
      <c r="C75" s="23"/>
      <c r="D75" s="26" t="s">
        <v>53</v>
      </c>
      <c r="E75" s="27">
        <v>9910455</v>
      </c>
      <c r="F75" s="27">
        <f>1442062+245992.48</f>
        <v>1688054.48</v>
      </c>
      <c r="G75" s="27">
        <v>8495017</v>
      </c>
      <c r="H75" s="27">
        <f>504777+1415953</f>
        <v>1920730</v>
      </c>
      <c r="I75" s="27">
        <f>355785+5841984.84</f>
        <v>6197769.8399999999</v>
      </c>
      <c r="J75" s="27">
        <f>10256+1209590.46</f>
        <v>1219846.46</v>
      </c>
      <c r="K75" s="27">
        <v>6955353.2300000004</v>
      </c>
      <c r="L75" s="27">
        <v>721048.16</v>
      </c>
      <c r="M75" s="27">
        <v>8095979.6600000001</v>
      </c>
      <c r="N75" s="27">
        <v>396207.01</v>
      </c>
      <c r="O75" s="27">
        <v>3595619.15</v>
      </c>
      <c r="P75" s="27">
        <v>19186.91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1">
        <v>0</v>
      </c>
      <c r="Z75" s="21">
        <v>0</v>
      </c>
      <c r="AA75" s="21">
        <v>0</v>
      </c>
      <c r="AB75" s="21">
        <v>0</v>
      </c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</row>
    <row r="76" spans="2:46" s="25" customFormat="1" ht="12" customHeight="1" outlineLevel="2" x14ac:dyDescent="0.2">
      <c r="B76" s="22"/>
      <c r="C76" s="23"/>
      <c r="D76" s="26" t="s">
        <v>54</v>
      </c>
      <c r="E76" s="27">
        <v>32434824</v>
      </c>
      <c r="F76" s="27">
        <f>4720303+2484170.05</f>
        <v>7204473.0499999998</v>
      </c>
      <c r="G76" s="27">
        <f>2165941+20795834</f>
        <v>22961775</v>
      </c>
      <c r="H76" s="27">
        <f>42300+5984123</f>
        <v>6026423</v>
      </c>
      <c r="I76" s="27">
        <v>21429351.379999999</v>
      </c>
      <c r="J76" s="27">
        <v>5703995.5599999996</v>
      </c>
      <c r="K76" s="27">
        <v>21275118.050000001</v>
      </c>
      <c r="L76" s="27">
        <v>3500388.41</v>
      </c>
      <c r="M76" s="27">
        <v>25346199.09</v>
      </c>
      <c r="N76" s="27">
        <v>1872984.21</v>
      </c>
      <c r="O76" s="27">
        <v>26418460.629999999</v>
      </c>
      <c r="P76" s="27">
        <v>328100.86</v>
      </c>
      <c r="Q76" s="27">
        <v>27902459.289999999</v>
      </c>
      <c r="R76" s="27">
        <v>148677.10999999999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1">
        <v>0</v>
      </c>
      <c r="Z76" s="21">
        <v>0</v>
      </c>
      <c r="AA76" s="21">
        <v>0</v>
      </c>
      <c r="AB76" s="21">
        <v>0</v>
      </c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</row>
    <row r="77" spans="2:46" s="25" customFormat="1" ht="12" customHeight="1" outlineLevel="2" x14ac:dyDescent="0.2">
      <c r="B77" s="22"/>
      <c r="C77" s="23"/>
      <c r="D77" s="26" t="s">
        <v>55</v>
      </c>
      <c r="E77" s="27">
        <v>5351485</v>
      </c>
      <c r="F77" s="27">
        <f>719731+616696.76</f>
        <v>1336427.76</v>
      </c>
      <c r="G77" s="27">
        <f>3381643+445164</f>
        <v>3826807</v>
      </c>
      <c r="H77" s="27">
        <f>104214+1126180</f>
        <v>1230394</v>
      </c>
      <c r="I77" s="27">
        <v>3882982.17</v>
      </c>
      <c r="J77" s="27">
        <v>1308415.99</v>
      </c>
      <c r="K77" s="27">
        <v>3858639.4045525203</v>
      </c>
      <c r="L77" s="27">
        <v>864328.35535597475</v>
      </c>
      <c r="M77" s="27">
        <v>4639254.09</v>
      </c>
      <c r="N77" s="27">
        <v>487199.05</v>
      </c>
      <c r="O77" s="27">
        <v>4869176</v>
      </c>
      <c r="P77" s="27">
        <v>120289.25</v>
      </c>
      <c r="Q77" s="27">
        <v>5123214.54</v>
      </c>
      <c r="R77" s="27">
        <v>84923.35</v>
      </c>
      <c r="S77" s="27">
        <v>5593841.1999999993</v>
      </c>
      <c r="T77" s="27">
        <v>54696.160000000003</v>
      </c>
      <c r="U77" s="27">
        <v>3138967.57</v>
      </c>
      <c r="V77" s="27">
        <v>14365.19</v>
      </c>
      <c r="W77" s="27">
        <v>0</v>
      </c>
      <c r="X77" s="27">
        <v>0</v>
      </c>
      <c r="Y77" s="21">
        <v>0</v>
      </c>
      <c r="Z77" s="21">
        <v>0</v>
      </c>
      <c r="AA77" s="21">
        <v>0</v>
      </c>
      <c r="AB77" s="21">
        <v>0</v>
      </c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</row>
    <row r="78" spans="2:46" s="25" customFormat="1" ht="12" customHeight="1" outlineLevel="2" x14ac:dyDescent="0.2">
      <c r="B78" s="22"/>
      <c r="C78" s="23"/>
      <c r="D78" s="26" t="s">
        <v>56</v>
      </c>
      <c r="E78" s="27">
        <v>0</v>
      </c>
      <c r="F78" s="27">
        <f>551901+36535409</f>
        <v>37087310</v>
      </c>
      <c r="G78" s="27">
        <v>69918145</v>
      </c>
      <c r="H78" s="27">
        <f>33846548+284313</f>
        <v>34130861</v>
      </c>
      <c r="I78" s="27">
        <v>71321432</v>
      </c>
      <c r="J78" s="27">
        <v>34900846</v>
      </c>
      <c r="K78" s="27">
        <v>74270018.114360303</v>
      </c>
      <c r="L78" s="27">
        <v>24149389.393661715</v>
      </c>
      <c r="M78" s="27">
        <v>85657630.74000001</v>
      </c>
      <c r="N78" s="27">
        <v>18791896.685399998</v>
      </c>
      <c r="O78" s="27">
        <v>89243290.299999997</v>
      </c>
      <c r="P78" s="27">
        <v>3775320.8</v>
      </c>
      <c r="Q78" s="27">
        <v>94847168</v>
      </c>
      <c r="R78" s="27">
        <v>3286909.39</v>
      </c>
      <c r="S78" s="27">
        <v>104127716.84</v>
      </c>
      <c r="T78" s="27">
        <v>3698097.48</v>
      </c>
      <c r="U78" s="27">
        <v>125452046.86</v>
      </c>
      <c r="V78" s="27">
        <v>2702361.93</v>
      </c>
      <c r="W78" s="27">
        <v>187947889.96000001</v>
      </c>
      <c r="X78" s="27">
        <v>1999314.25</v>
      </c>
      <c r="Y78" s="21">
        <v>209444141.31</v>
      </c>
      <c r="Z78" s="21">
        <v>1025660.99</v>
      </c>
      <c r="AA78" s="21"/>
      <c r="AB78" s="2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</row>
    <row r="79" spans="2:46" s="25" customFormat="1" ht="12" customHeight="1" outlineLevel="2" x14ac:dyDescent="0.2">
      <c r="B79" s="22"/>
      <c r="C79" s="23"/>
      <c r="D79" s="26" t="s">
        <v>72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418053.97</v>
      </c>
      <c r="K79" s="27">
        <v>0</v>
      </c>
      <c r="L79" s="27">
        <v>1207538.06</v>
      </c>
      <c r="M79" s="27">
        <v>0</v>
      </c>
      <c r="N79" s="27">
        <v>4160681.69</v>
      </c>
      <c r="O79" s="27">
        <v>0</v>
      </c>
      <c r="P79" s="27">
        <v>5060771.7300000004</v>
      </c>
      <c r="Q79" s="27">
        <v>0</v>
      </c>
      <c r="R79" s="27">
        <v>4867415.4000000004</v>
      </c>
      <c r="S79" s="27">
        <v>19232401.329999998</v>
      </c>
      <c r="T79" s="27">
        <v>5425656.8799999999</v>
      </c>
      <c r="U79" s="27">
        <v>47226877.490000002</v>
      </c>
      <c r="V79" s="27">
        <v>6093764.6699999999</v>
      </c>
      <c r="W79" s="27">
        <v>74972950.909999996</v>
      </c>
      <c r="X79" s="27">
        <v>7501119.25</v>
      </c>
      <c r="Y79" s="21">
        <v>84908958.049999997</v>
      </c>
      <c r="Z79" s="21">
        <v>6496112.7199999997</v>
      </c>
      <c r="AA79" s="21">
        <v>143578350.94</v>
      </c>
      <c r="AB79" s="21">
        <v>7423345.3699999992</v>
      </c>
      <c r="AC79" s="51">
        <v>159765034.94</v>
      </c>
      <c r="AD79" s="51">
        <v>4642699.8800000008</v>
      </c>
      <c r="AE79" s="51">
        <v>101619576.98</v>
      </c>
      <c r="AF79" s="51">
        <v>1090918.3399999999</v>
      </c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</row>
    <row r="80" spans="2:46" s="25" customFormat="1" ht="12" customHeight="1" outlineLevel="2" x14ac:dyDescent="0.2">
      <c r="B80" s="22"/>
      <c r="C80" s="23"/>
      <c r="D80" s="26" t="s">
        <v>57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46526.879999999997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/>
      <c r="Y80" s="21"/>
      <c r="Z80" s="21"/>
      <c r="AA80" s="21"/>
      <c r="AB80" s="2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</row>
    <row r="81" spans="2:46" s="25" customFormat="1" ht="12" customHeight="1" outlineLevel="2" x14ac:dyDescent="0.2">
      <c r="B81" s="22"/>
      <c r="C81" s="23"/>
      <c r="D81" s="26" t="s">
        <v>73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893942.59</v>
      </c>
      <c r="K81" s="27">
        <v>0</v>
      </c>
      <c r="L81" s="27">
        <v>1810430.14</v>
      </c>
      <c r="M81" s="27">
        <v>0</v>
      </c>
      <c r="N81" s="27">
        <v>3606758.11</v>
      </c>
      <c r="O81" s="27">
        <v>0</v>
      </c>
      <c r="P81" s="27">
        <v>2141997.38</v>
      </c>
      <c r="Q81" s="27">
        <v>0</v>
      </c>
      <c r="R81" s="27">
        <v>2058742.82</v>
      </c>
      <c r="S81" s="27">
        <v>23077848.100000001</v>
      </c>
      <c r="T81" s="27">
        <v>3242280.96</v>
      </c>
      <c r="U81" s="27">
        <v>55614606.269999996</v>
      </c>
      <c r="V81" s="27">
        <v>2754402.12</v>
      </c>
      <c r="W81" s="27">
        <v>83140704.99000001</v>
      </c>
      <c r="X81" s="27">
        <v>2854675.61</v>
      </c>
      <c r="Y81" s="21">
        <v>93347527.010000005</v>
      </c>
      <c r="Z81" s="21">
        <v>2777957.04</v>
      </c>
      <c r="AA81" s="21">
        <v>147875385.94999999</v>
      </c>
      <c r="AB81" s="21">
        <v>5626766.5700000003</v>
      </c>
      <c r="AC81" s="51">
        <v>167650876.22</v>
      </c>
      <c r="AD81" s="51">
        <v>7420047.6999999993</v>
      </c>
      <c r="AE81" s="51">
        <v>310707614.33999997</v>
      </c>
      <c r="AF81" s="51">
        <v>12571839.550000001</v>
      </c>
      <c r="AG81" s="51">
        <v>523696674.51999998</v>
      </c>
      <c r="AH81" s="51">
        <v>11375772.48</v>
      </c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</row>
    <row r="82" spans="2:46" s="14" customFormat="1" ht="12" customHeight="1" outlineLevel="1" x14ac:dyDescent="0.2">
      <c r="B82" s="22"/>
      <c r="C82" s="23"/>
      <c r="D82" s="26" t="s">
        <v>74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63562.52</v>
      </c>
      <c r="O82" s="27">
        <v>0</v>
      </c>
      <c r="P82" s="27">
        <v>99579.87</v>
      </c>
      <c r="Q82" s="27">
        <v>0</v>
      </c>
      <c r="R82" s="27">
        <v>49976.09</v>
      </c>
      <c r="S82" s="27">
        <v>0</v>
      </c>
      <c r="T82" s="27">
        <v>111822.35</v>
      </c>
      <c r="U82" s="27">
        <v>485061.61</v>
      </c>
      <c r="V82" s="27">
        <v>191794.71</v>
      </c>
      <c r="W82" s="27">
        <v>487310.22</v>
      </c>
      <c r="X82" s="27">
        <v>168043.84</v>
      </c>
      <c r="Y82" s="21">
        <v>538420.52</v>
      </c>
      <c r="Z82" s="21">
        <v>164359.35999999999</v>
      </c>
      <c r="AA82" s="21">
        <v>859637.48</v>
      </c>
      <c r="AB82" s="21">
        <v>229036.91</v>
      </c>
      <c r="AC82" s="51">
        <v>999415.92999999993</v>
      </c>
      <c r="AD82" s="51">
        <v>226194.78</v>
      </c>
      <c r="AE82" s="51">
        <v>1398392.25</v>
      </c>
      <c r="AF82" s="51">
        <v>258959.02</v>
      </c>
      <c r="AG82" s="51">
        <v>2406924.17</v>
      </c>
      <c r="AH82" s="51">
        <v>354547.39</v>
      </c>
      <c r="AI82" s="51">
        <v>1817575.6752999998</v>
      </c>
      <c r="AJ82" s="51">
        <v>0</v>
      </c>
      <c r="AK82" s="51">
        <v>0</v>
      </c>
      <c r="AL82" s="51">
        <v>0</v>
      </c>
      <c r="AM82" s="51">
        <v>0</v>
      </c>
      <c r="AN82" s="51">
        <v>1817575.68</v>
      </c>
      <c r="AO82" s="51">
        <v>216755.20440000002</v>
      </c>
      <c r="AP82" s="51">
        <v>0</v>
      </c>
      <c r="AQ82" s="51">
        <v>0</v>
      </c>
      <c r="AR82" s="51">
        <v>0</v>
      </c>
      <c r="AS82" s="51">
        <v>0</v>
      </c>
      <c r="AT82" s="51">
        <v>216755.20000000001</v>
      </c>
    </row>
    <row r="83" spans="2:46" s="14" customFormat="1" ht="12" customHeight="1" outlineLevel="1" x14ac:dyDescent="0.2">
      <c r="B83" s="28"/>
      <c r="C83" s="16"/>
      <c r="D83" s="26" t="s">
        <v>58</v>
      </c>
      <c r="E83" s="27">
        <v>7850195</v>
      </c>
      <c r="F83" s="27">
        <v>2748571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1"/>
      <c r="Z83" s="21"/>
      <c r="AA83" s="21"/>
      <c r="AB83" s="2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</row>
    <row r="84" spans="2:46" s="14" customFormat="1" ht="12" customHeight="1" outlineLevel="1" x14ac:dyDescent="0.2">
      <c r="B84" s="28"/>
      <c r="C84" s="16"/>
      <c r="D84" s="26" t="s">
        <v>59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714838.47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1"/>
      <c r="Z84" s="21"/>
      <c r="AA84" s="21"/>
      <c r="AB84" s="2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</row>
    <row r="85" spans="2:46" s="14" customFormat="1" ht="12" customHeight="1" outlineLevel="1" x14ac:dyDescent="0.2">
      <c r="B85" s="28"/>
      <c r="C85" s="16"/>
      <c r="D85" s="26" t="s">
        <v>75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59233.79</v>
      </c>
      <c r="S85" s="27">
        <v>0</v>
      </c>
      <c r="T85" s="27">
        <v>1156196.43</v>
      </c>
      <c r="U85" s="27">
        <v>0</v>
      </c>
      <c r="V85" s="27">
        <v>1331720.82</v>
      </c>
      <c r="W85" s="27">
        <v>6528269.5</v>
      </c>
      <c r="X85" s="27">
        <v>4194468.08</v>
      </c>
      <c r="Y85" s="21">
        <v>10560719.23</v>
      </c>
      <c r="Z85" s="21">
        <v>7994246.8100000005</v>
      </c>
      <c r="AA85" s="21">
        <v>21149392.640000001</v>
      </c>
      <c r="AB85" s="21">
        <v>10233303.699999999</v>
      </c>
      <c r="AC85" s="51">
        <v>26770876.66</v>
      </c>
      <c r="AD85" s="51">
        <v>13998818.99</v>
      </c>
      <c r="AE85" s="51">
        <v>48940799.459999993</v>
      </c>
      <c r="AF85" s="51">
        <v>28567423.270000003</v>
      </c>
      <c r="AG85" s="51">
        <v>81809471.890000001</v>
      </c>
      <c r="AH85" s="51">
        <v>51362960.439999998</v>
      </c>
      <c r="AI85" s="51">
        <v>0</v>
      </c>
      <c r="AJ85" s="51">
        <v>0</v>
      </c>
      <c r="AK85" s="51">
        <v>0</v>
      </c>
      <c r="AL85" s="51">
        <v>54468961.216188185</v>
      </c>
      <c r="AM85" s="51">
        <v>0</v>
      </c>
      <c r="AN85" s="51">
        <v>54468961.219999999</v>
      </c>
      <c r="AO85" s="51">
        <v>0</v>
      </c>
      <c r="AP85" s="51">
        <v>0</v>
      </c>
      <c r="AQ85" s="51">
        <v>0</v>
      </c>
      <c r="AR85" s="51">
        <v>29329287.143811818</v>
      </c>
      <c r="AS85" s="51">
        <v>0</v>
      </c>
      <c r="AT85" s="51">
        <v>29329287.140000001</v>
      </c>
    </row>
    <row r="86" spans="2:46" s="14" customFormat="1" ht="12" customHeight="1" outlineLevel="1" x14ac:dyDescent="0.2">
      <c r="B86" s="28"/>
      <c r="C86" s="16"/>
      <c r="D86" s="26" t="s">
        <v>85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1"/>
      <c r="Z86" s="21">
        <v>831545.11</v>
      </c>
      <c r="AA86" s="21">
        <v>8927281.620000001</v>
      </c>
      <c r="AB86" s="21">
        <v>3305737.38</v>
      </c>
      <c r="AC86" s="51">
        <v>9680257.9900000002</v>
      </c>
      <c r="AD86" s="51">
        <v>5046780.92</v>
      </c>
      <c r="AE86" s="51">
        <v>20101204.5</v>
      </c>
      <c r="AF86" s="51">
        <v>12617582.390000001</v>
      </c>
      <c r="AG86" s="51">
        <v>33238569.109999999</v>
      </c>
      <c r="AH86" s="51">
        <v>23635888.619999997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</row>
    <row r="87" spans="2:46" s="14" customFormat="1" ht="12" customHeight="1" outlineLevel="1" x14ac:dyDescent="0.2">
      <c r="B87" s="28"/>
      <c r="C87" s="16"/>
      <c r="D87" s="26" t="s">
        <v>64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445070.52</v>
      </c>
      <c r="T87" s="27">
        <v>9866.59</v>
      </c>
      <c r="U87" s="27">
        <v>236887.52</v>
      </c>
      <c r="V87" s="27">
        <v>12641.17</v>
      </c>
      <c r="W87" s="27">
        <v>472547.85</v>
      </c>
      <c r="X87" s="27">
        <v>33332.410000000003</v>
      </c>
      <c r="Y87" s="21">
        <v>522919.65</v>
      </c>
      <c r="Z87" s="21">
        <v>51360.51</v>
      </c>
      <c r="AA87" s="21">
        <v>838121.63</v>
      </c>
      <c r="AB87" s="21">
        <v>84787.33</v>
      </c>
      <c r="AC87" s="51">
        <v>938212.83000000007</v>
      </c>
      <c r="AD87" s="51">
        <v>99061.51999999999</v>
      </c>
      <c r="AE87" s="51">
        <v>1616529.75</v>
      </c>
      <c r="AF87" s="51">
        <v>232698.27</v>
      </c>
      <c r="AG87" s="51">
        <v>3013256.95</v>
      </c>
      <c r="AH87" s="51">
        <v>347673.2</v>
      </c>
      <c r="AI87" s="51">
        <v>0</v>
      </c>
      <c r="AJ87" s="51">
        <v>0</v>
      </c>
      <c r="AK87" s="51">
        <v>0</v>
      </c>
      <c r="AL87" s="51">
        <v>1894624.0499999998</v>
      </c>
      <c r="AM87" s="51">
        <v>0</v>
      </c>
      <c r="AN87" s="51">
        <v>1894624.05</v>
      </c>
      <c r="AO87" s="51">
        <v>0</v>
      </c>
      <c r="AP87" s="51">
        <v>0</v>
      </c>
      <c r="AQ87" s="51">
        <v>0</v>
      </c>
      <c r="AR87" s="51">
        <v>163867.15999823998</v>
      </c>
      <c r="AS87" s="51">
        <v>0</v>
      </c>
      <c r="AT87" s="51">
        <v>163867.16</v>
      </c>
    </row>
    <row r="88" spans="2:46" s="14" customFormat="1" ht="12" customHeight="1" outlineLevel="1" x14ac:dyDescent="0.2">
      <c r="B88" s="28"/>
      <c r="C88" s="16"/>
      <c r="D88" s="26" t="s">
        <v>88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1"/>
      <c r="Z88" s="21"/>
      <c r="AA88" s="21"/>
      <c r="AB88" s="21"/>
      <c r="AC88" s="51">
        <v>0</v>
      </c>
      <c r="AD88" s="51">
        <v>9529137.4800000004</v>
      </c>
      <c r="AE88" s="51">
        <v>0</v>
      </c>
      <c r="AF88" s="51">
        <v>33820041.299999997</v>
      </c>
      <c r="AG88" s="51">
        <v>0</v>
      </c>
      <c r="AH88" s="51">
        <v>88454962.939999998</v>
      </c>
      <c r="AI88" s="51">
        <v>163551110.97999999</v>
      </c>
      <c r="AJ88" s="51">
        <v>0</v>
      </c>
      <c r="AK88" s="51">
        <v>0</v>
      </c>
      <c r="AL88" s="51">
        <v>0</v>
      </c>
      <c r="AM88" s="51">
        <v>0</v>
      </c>
      <c r="AN88" s="51">
        <v>163551110.97999999</v>
      </c>
      <c r="AO88" s="51">
        <v>60062248.759999998</v>
      </c>
      <c r="AP88" s="51">
        <v>0</v>
      </c>
      <c r="AQ88" s="51">
        <v>0</v>
      </c>
      <c r="AR88" s="51">
        <v>0</v>
      </c>
      <c r="AS88" s="51">
        <v>0</v>
      </c>
      <c r="AT88" s="51">
        <v>60062248.759999998</v>
      </c>
    </row>
    <row r="89" spans="2:46" s="14" customFormat="1" ht="12" customHeight="1" outlineLevel="1" x14ac:dyDescent="0.2">
      <c r="B89" s="28"/>
      <c r="C89" s="16"/>
      <c r="D89" s="26" t="s">
        <v>94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1"/>
      <c r="Z89" s="21"/>
      <c r="AA89" s="21"/>
      <c r="AB89" s="21"/>
      <c r="AC89" s="51">
        <v>0</v>
      </c>
      <c r="AD89" s="51">
        <v>66600851.720000006</v>
      </c>
      <c r="AE89" s="51">
        <v>0</v>
      </c>
      <c r="AF89" s="51">
        <v>283895051.10000002</v>
      </c>
      <c r="AG89" s="51">
        <v>870353100</v>
      </c>
      <c r="AH89" s="51">
        <v>540797604.25</v>
      </c>
      <c r="AI89" s="51">
        <v>0</v>
      </c>
      <c r="AJ89" s="51">
        <v>0</v>
      </c>
      <c r="AK89" s="51">
        <v>0</v>
      </c>
      <c r="AL89" s="51">
        <v>0</v>
      </c>
      <c r="AM89" s="51">
        <v>986234940</v>
      </c>
      <c r="AN89" s="51">
        <v>986234940</v>
      </c>
      <c r="AO89" s="51">
        <v>563899.98</v>
      </c>
      <c r="AP89" s="51">
        <v>0</v>
      </c>
      <c r="AQ89" s="51">
        <v>0</v>
      </c>
      <c r="AR89" s="51">
        <v>609725.5</v>
      </c>
      <c r="AS89" s="51">
        <v>277162254.30358344</v>
      </c>
      <c r="AT89" s="51">
        <v>278335879.77999997</v>
      </c>
    </row>
    <row r="90" spans="2:46" s="14" customFormat="1" ht="12" customHeight="1" outlineLevel="1" x14ac:dyDescent="0.2">
      <c r="B90" s="28"/>
      <c r="C90" s="16"/>
      <c r="D90" s="26" t="s">
        <v>96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1"/>
      <c r="Z90" s="21"/>
      <c r="AA90" s="21"/>
      <c r="AB90" s="21"/>
      <c r="AC90" s="51"/>
      <c r="AD90" s="51"/>
      <c r="AE90" s="51">
        <v>0</v>
      </c>
      <c r="AF90" s="51">
        <v>233778154.39000002</v>
      </c>
      <c r="AG90" s="51">
        <v>0</v>
      </c>
      <c r="AH90" s="51">
        <v>536184112.50999999</v>
      </c>
      <c r="AI90" s="51">
        <v>0</v>
      </c>
      <c r="AJ90" s="51">
        <v>0</v>
      </c>
      <c r="AK90" s="51">
        <v>0</v>
      </c>
      <c r="AL90" s="51">
        <v>0</v>
      </c>
      <c r="AM90" s="51">
        <v>1127270595</v>
      </c>
      <c r="AN90" s="51">
        <v>1127270595</v>
      </c>
      <c r="AO90" s="51">
        <v>463667.72</v>
      </c>
      <c r="AP90" s="51">
        <v>0</v>
      </c>
      <c r="AQ90" s="51">
        <v>0</v>
      </c>
      <c r="AR90" s="51">
        <v>628537.75</v>
      </c>
      <c r="AS90" s="51">
        <v>303882966.49641657</v>
      </c>
      <c r="AT90" s="51">
        <v>304975171.97000003</v>
      </c>
    </row>
    <row r="91" spans="2:46" s="14" customFormat="1" ht="12" customHeight="1" outlineLevel="1" x14ac:dyDescent="0.2">
      <c r="B91" s="28"/>
      <c r="C91" s="16"/>
      <c r="D91" s="26" t="s">
        <v>107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1"/>
      <c r="Z91" s="21"/>
      <c r="AA91" s="21"/>
      <c r="AB91" s="21"/>
      <c r="AC91" s="51"/>
      <c r="AD91" s="51"/>
      <c r="AE91" s="51"/>
      <c r="AF91" s="51"/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1227080.33</v>
      </c>
      <c r="AP91" s="51">
        <v>0</v>
      </c>
      <c r="AQ91" s="51">
        <v>0</v>
      </c>
      <c r="AR91" s="51">
        <v>0</v>
      </c>
      <c r="AS91" s="51">
        <v>0</v>
      </c>
      <c r="AT91" s="51">
        <v>1227080.33</v>
      </c>
    </row>
    <row r="92" spans="2:46" s="25" customFormat="1" ht="12" customHeight="1" outlineLevel="1" x14ac:dyDescent="0.2">
      <c r="B92" s="28"/>
      <c r="C92" s="16"/>
      <c r="D92" s="2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38"/>
      <c r="V92" s="38"/>
      <c r="W92" s="38"/>
      <c r="X92" s="38"/>
      <c r="Y92" s="19"/>
      <c r="Z92" s="19"/>
      <c r="AA92" s="19"/>
      <c r="AB92" s="19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</row>
    <row r="93" spans="2:46" s="25" customFormat="1" ht="12" customHeight="1" outlineLevel="2" x14ac:dyDescent="0.2">
      <c r="B93" s="22"/>
      <c r="C93" s="23" t="s">
        <v>109</v>
      </c>
      <c r="D93" s="24"/>
      <c r="E93" s="18">
        <f t="shared" ref="E93:P93" si="19">SUM(E94:E99)</f>
        <v>1206611</v>
      </c>
      <c r="F93" s="18">
        <f t="shared" si="19"/>
        <v>16166662.76</v>
      </c>
      <c r="G93" s="18">
        <f t="shared" si="19"/>
        <v>0</v>
      </c>
      <c r="H93" s="18">
        <f t="shared" si="19"/>
        <v>11044264</v>
      </c>
      <c r="I93" s="18">
        <f t="shared" si="19"/>
        <v>13533832.33</v>
      </c>
      <c r="J93" s="18">
        <f t="shared" si="19"/>
        <v>9845986.3399999999</v>
      </c>
      <c r="K93" s="18">
        <f t="shared" si="19"/>
        <v>36253758.467</v>
      </c>
      <c r="L93" s="18">
        <f t="shared" si="19"/>
        <v>7255025.0667700004</v>
      </c>
      <c r="M93" s="18">
        <f t="shared" si="19"/>
        <v>41933144.046000004</v>
      </c>
      <c r="N93" s="18">
        <f t="shared" si="19"/>
        <v>4943562.7686299998</v>
      </c>
      <c r="O93" s="18">
        <f t="shared" si="19"/>
        <v>43115014.361000001</v>
      </c>
      <c r="P93" s="18">
        <f t="shared" si="19"/>
        <v>3855487.7249799999</v>
      </c>
      <c r="Q93" s="18">
        <f t="shared" ref="Q93:V93" si="20">SUM(Q94:Q99)</f>
        <v>46163003.741999999</v>
      </c>
      <c r="R93" s="18">
        <f t="shared" si="20"/>
        <v>3089204.4892120617</v>
      </c>
      <c r="S93" s="18">
        <f t="shared" si="20"/>
        <v>42743278.640000001</v>
      </c>
      <c r="T93" s="18">
        <f t="shared" si="20"/>
        <v>1895381.22</v>
      </c>
      <c r="U93" s="18">
        <f t="shared" si="20"/>
        <v>14041460.060000001</v>
      </c>
      <c r="V93" s="18">
        <f t="shared" si="20"/>
        <v>332571</v>
      </c>
      <c r="W93" s="18">
        <f t="shared" ref="W93:Z93" si="21">SUM(W94:W99)</f>
        <v>0</v>
      </c>
      <c r="X93" s="18">
        <f t="shared" si="21"/>
        <v>0</v>
      </c>
      <c r="Y93" s="19">
        <f t="shared" si="21"/>
        <v>0</v>
      </c>
      <c r="Z93" s="19">
        <f t="shared" si="21"/>
        <v>0</v>
      </c>
      <c r="AA93" s="19">
        <f>SUM(AA94:AA99)</f>
        <v>0</v>
      </c>
      <c r="AB93" s="19">
        <f>SUM(AB94:AB99)</f>
        <v>0</v>
      </c>
      <c r="AC93" s="50"/>
      <c r="AD93" s="50"/>
      <c r="AE93" s="50">
        <v>0</v>
      </c>
      <c r="AF93" s="50">
        <v>32318933.670000002</v>
      </c>
      <c r="AG93" s="50">
        <v>0</v>
      </c>
      <c r="AH93" s="50">
        <v>146611371.89999998</v>
      </c>
      <c r="AI93" s="50">
        <v>0</v>
      </c>
      <c r="AJ93" s="50">
        <v>0</v>
      </c>
      <c r="AK93" s="50">
        <v>0</v>
      </c>
      <c r="AL93" s="50">
        <v>0</v>
      </c>
      <c r="AM93" s="50">
        <v>32316927.5</v>
      </c>
      <c r="AN93" s="50">
        <v>32316927.5</v>
      </c>
      <c r="AO93" s="50">
        <v>0</v>
      </c>
      <c r="AP93" s="50">
        <v>0</v>
      </c>
      <c r="AQ93" s="50">
        <v>0</v>
      </c>
      <c r="AR93" s="50">
        <v>0</v>
      </c>
      <c r="AS93" s="50">
        <v>35630254.879038997</v>
      </c>
      <c r="AT93" s="50">
        <v>35630254.879999995</v>
      </c>
    </row>
    <row r="94" spans="2:46" s="25" customFormat="1" ht="12" customHeight="1" outlineLevel="2" x14ac:dyDescent="0.2">
      <c r="B94" s="22"/>
      <c r="C94" s="23"/>
      <c r="D94" s="26" t="s">
        <v>8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1">
        <v>0</v>
      </c>
      <c r="Z94" s="21">
        <v>0</v>
      </c>
      <c r="AA94" s="21">
        <v>0</v>
      </c>
      <c r="AB94" s="21">
        <v>0</v>
      </c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</row>
    <row r="95" spans="2:46" s="25" customFormat="1" ht="12" customHeight="1" outlineLevel="2" x14ac:dyDescent="0.2">
      <c r="B95" s="22"/>
      <c r="C95" s="23"/>
      <c r="D95" s="26" t="s">
        <v>9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1">
        <v>0</v>
      </c>
      <c r="Z95" s="21">
        <v>0</v>
      </c>
      <c r="AA95" s="21">
        <v>0</v>
      </c>
      <c r="AB95" s="21">
        <v>0</v>
      </c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</row>
    <row r="96" spans="2:46" s="25" customFormat="1" ht="12" customHeight="1" outlineLevel="2" x14ac:dyDescent="0.2">
      <c r="B96" s="22"/>
      <c r="C96" s="23"/>
      <c r="D96" s="26" t="s">
        <v>10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1">
        <v>0</v>
      </c>
      <c r="Z96" s="21">
        <v>0</v>
      </c>
      <c r="AA96" s="21">
        <v>0</v>
      </c>
      <c r="AB96" s="21">
        <v>0</v>
      </c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</row>
    <row r="97" spans="2:46" s="25" customFormat="1" ht="12" customHeight="1" outlineLevel="2" x14ac:dyDescent="0.2">
      <c r="B97" s="22"/>
      <c r="C97" s="23"/>
      <c r="D97" s="26" t="s">
        <v>11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/>
      <c r="X97" s="27"/>
      <c r="Y97" s="21"/>
      <c r="Z97" s="21"/>
      <c r="AA97" s="21"/>
      <c r="AB97" s="2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</row>
    <row r="98" spans="2:46" s="25" customFormat="1" ht="12" customHeight="1" outlineLevel="2" x14ac:dyDescent="0.2">
      <c r="B98" s="22"/>
      <c r="C98" s="23"/>
      <c r="D98" s="26" t="s">
        <v>16</v>
      </c>
      <c r="E98" s="27">
        <v>0</v>
      </c>
      <c r="F98" s="27">
        <v>4147610.76</v>
      </c>
      <c r="G98" s="27">
        <v>0</v>
      </c>
      <c r="H98" s="27">
        <v>4597080</v>
      </c>
      <c r="I98" s="27">
        <v>9355983.3300000001</v>
      </c>
      <c r="J98" s="27">
        <v>5124688.34</v>
      </c>
      <c r="K98" s="27">
        <v>19413142.469999999</v>
      </c>
      <c r="L98" s="27">
        <v>4868416.92</v>
      </c>
      <c r="M98" s="27">
        <v>22069728.990000002</v>
      </c>
      <c r="N98" s="27">
        <v>4451082.5599999996</v>
      </c>
      <c r="O98" s="27">
        <v>22343965.73</v>
      </c>
      <c r="P98" s="27">
        <v>3443023.33</v>
      </c>
      <c r="Q98" s="27">
        <v>24188393.07</v>
      </c>
      <c r="R98" s="27">
        <v>2581127.44</v>
      </c>
      <c r="S98" s="27">
        <v>24866249.719999999</v>
      </c>
      <c r="T98" s="27">
        <v>1472108.67</v>
      </c>
      <c r="U98" s="27">
        <v>14041460.060000001</v>
      </c>
      <c r="V98" s="27">
        <v>332571</v>
      </c>
      <c r="W98" s="27">
        <v>0</v>
      </c>
      <c r="X98" s="27"/>
      <c r="Y98" s="21">
        <v>0</v>
      </c>
      <c r="Z98" s="21"/>
      <c r="AA98" s="21">
        <v>0</v>
      </c>
      <c r="AB98" s="2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</row>
    <row r="99" spans="2:46" s="25" customFormat="1" ht="12" customHeight="1" outlineLevel="2" x14ac:dyDescent="0.2">
      <c r="B99" s="22"/>
      <c r="C99" s="23"/>
      <c r="D99" s="26" t="s">
        <v>12</v>
      </c>
      <c r="E99" s="27">
        <v>1206611</v>
      </c>
      <c r="F99" s="27">
        <f>4490435+7528617</f>
        <v>12019052</v>
      </c>
      <c r="G99" s="27">
        <v>0</v>
      </c>
      <c r="H99" s="27">
        <f>6247298+199886</f>
        <v>6447184</v>
      </c>
      <c r="I99" s="27">
        <v>4177849</v>
      </c>
      <c r="J99" s="27">
        <f>4502509+218789</f>
        <v>4721298</v>
      </c>
      <c r="K99" s="27">
        <v>16840615.997000001</v>
      </c>
      <c r="L99" s="27">
        <v>2386608.14677</v>
      </c>
      <c r="M99" s="27">
        <v>19863415.055999998</v>
      </c>
      <c r="N99" s="27">
        <v>492480.20863000007</v>
      </c>
      <c r="O99" s="27">
        <v>20771048.630999997</v>
      </c>
      <c r="P99" s="27">
        <v>412464.39498000004</v>
      </c>
      <c r="Q99" s="27">
        <v>21974610.671999998</v>
      </c>
      <c r="R99" s="27">
        <v>508077.04921206168</v>
      </c>
      <c r="S99" s="27">
        <v>17877028.920000002</v>
      </c>
      <c r="T99" s="27">
        <v>423272.55</v>
      </c>
      <c r="U99" s="27">
        <v>0</v>
      </c>
      <c r="V99" s="27">
        <v>0</v>
      </c>
      <c r="W99" s="27">
        <v>0</v>
      </c>
      <c r="X99" s="27">
        <v>0</v>
      </c>
      <c r="Y99" s="21">
        <v>0</v>
      </c>
      <c r="Z99" s="21">
        <v>0</v>
      </c>
      <c r="AA99" s="21">
        <v>0</v>
      </c>
      <c r="AB99" s="21">
        <v>0</v>
      </c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</row>
    <row r="100" spans="2:46" s="25" customFormat="1" ht="12" customHeight="1" outlineLevel="2" x14ac:dyDescent="0.2">
      <c r="B100" s="22"/>
      <c r="C100" s="23"/>
      <c r="D100" s="54" t="s">
        <v>101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1"/>
      <c r="Z100" s="21"/>
      <c r="AA100" s="21"/>
      <c r="AB100" s="21"/>
      <c r="AC100" s="51"/>
      <c r="AD100" s="51"/>
      <c r="AE100" s="51">
        <v>0</v>
      </c>
      <c r="AF100" s="51">
        <v>32318933.670000002</v>
      </c>
      <c r="AG100" s="51">
        <v>0</v>
      </c>
      <c r="AH100" s="51">
        <v>7990197.1899999995</v>
      </c>
      <c r="AI100" s="51">
        <v>0</v>
      </c>
      <c r="AJ100" s="51">
        <v>0</v>
      </c>
      <c r="AK100" s="51">
        <v>0</v>
      </c>
      <c r="AL100" s="51">
        <v>0</v>
      </c>
      <c r="AM100" s="51">
        <v>32316927.5</v>
      </c>
      <c r="AN100" s="51">
        <v>32316927.5</v>
      </c>
      <c r="AO100" s="51">
        <v>0</v>
      </c>
      <c r="AP100" s="51">
        <v>0</v>
      </c>
      <c r="AQ100" s="51">
        <v>0</v>
      </c>
      <c r="AR100" s="51">
        <v>0</v>
      </c>
      <c r="AS100" s="51">
        <v>9370489.6985929981</v>
      </c>
      <c r="AT100" s="51">
        <v>9370489.6999999993</v>
      </c>
    </row>
    <row r="101" spans="2:46" s="25" customFormat="1" ht="12" customHeight="1" outlineLevel="2" x14ac:dyDescent="0.2">
      <c r="B101" s="22"/>
      <c r="C101" s="23"/>
      <c r="D101" s="54" t="s">
        <v>99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1"/>
      <c r="Z101" s="21"/>
      <c r="AA101" s="21"/>
      <c r="AB101" s="21"/>
      <c r="AC101" s="51"/>
      <c r="AD101" s="51"/>
      <c r="AE101" s="51"/>
      <c r="AF101" s="51"/>
      <c r="AG101" s="51">
        <v>0</v>
      </c>
      <c r="AH101" s="51">
        <v>117249759.11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26259765.180445999</v>
      </c>
      <c r="AT101" s="51">
        <v>26259765.18</v>
      </c>
    </row>
    <row r="102" spans="2:46" s="25" customFormat="1" ht="12" customHeight="1" outlineLevel="2" x14ac:dyDescent="0.2">
      <c r="B102" s="22"/>
      <c r="C102" s="23"/>
      <c r="D102" s="54" t="s">
        <v>100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1"/>
      <c r="Z102" s="21"/>
      <c r="AA102" s="21"/>
      <c r="AB102" s="21"/>
      <c r="AC102" s="51"/>
      <c r="AD102" s="51"/>
      <c r="AE102" s="51"/>
      <c r="AF102" s="51"/>
      <c r="AG102" s="51">
        <v>0</v>
      </c>
      <c r="AH102" s="51">
        <v>21170030.120000001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</row>
    <row r="103" spans="2:46" s="25" customFormat="1" ht="12" customHeight="1" outlineLevel="2" x14ac:dyDescent="0.2">
      <c r="B103" s="22"/>
      <c r="C103" s="23"/>
      <c r="D103" s="54" t="s">
        <v>116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1"/>
      <c r="Z103" s="21"/>
      <c r="AA103" s="21"/>
      <c r="AB103" s="21"/>
      <c r="AC103" s="51"/>
      <c r="AD103" s="51"/>
      <c r="AE103" s="51"/>
      <c r="AF103" s="51"/>
      <c r="AG103" s="51"/>
      <c r="AH103" s="51"/>
      <c r="AI103" s="51">
        <v>0</v>
      </c>
      <c r="AJ103" s="51">
        <v>0</v>
      </c>
      <c r="AK103" s="51">
        <v>0</v>
      </c>
      <c r="AL103" s="51"/>
      <c r="AM103" s="51"/>
      <c r="AN103" s="51">
        <v>0</v>
      </c>
      <c r="AO103" s="51">
        <v>0</v>
      </c>
      <c r="AP103" s="51">
        <v>0</v>
      </c>
      <c r="AQ103" s="51">
        <v>0</v>
      </c>
      <c r="AR103" s="51"/>
      <c r="AS103" s="51"/>
      <c r="AT103" s="51">
        <v>0</v>
      </c>
    </row>
    <row r="104" spans="2:46" s="25" customFormat="1" ht="12" customHeight="1" outlineLevel="2" x14ac:dyDescent="0.2">
      <c r="B104" s="22"/>
      <c r="C104" s="23"/>
      <c r="D104" s="54" t="s">
        <v>108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1"/>
      <c r="Z104" s="21"/>
      <c r="AA104" s="21"/>
      <c r="AB104" s="21"/>
      <c r="AC104" s="51"/>
      <c r="AD104" s="51"/>
      <c r="AE104" s="51"/>
      <c r="AF104" s="51"/>
      <c r="AG104" s="51">
        <v>0</v>
      </c>
      <c r="AH104" s="51">
        <v>201385.48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</row>
    <row r="105" spans="2:46" s="25" customFormat="1" ht="12" customHeight="1" outlineLevel="1" x14ac:dyDescent="0.2">
      <c r="B105" s="28"/>
      <c r="C105" s="16"/>
      <c r="D105" s="17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38"/>
      <c r="V105" s="38"/>
      <c r="W105" s="38"/>
      <c r="X105" s="38"/>
      <c r="Y105" s="19"/>
      <c r="Z105" s="19"/>
      <c r="AA105" s="19"/>
      <c r="AB105" s="19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</row>
    <row r="106" spans="2:46" s="25" customFormat="1" ht="12" customHeight="1" outlineLevel="2" x14ac:dyDescent="0.2">
      <c r="B106" s="22"/>
      <c r="C106" s="23" t="s">
        <v>60</v>
      </c>
      <c r="D106" s="24"/>
      <c r="E106" s="18">
        <f t="shared" ref="E106:L106" si="22">+SUM(E107:E108)</f>
        <v>0</v>
      </c>
      <c r="F106" s="18">
        <f t="shared" si="22"/>
        <v>0</v>
      </c>
      <c r="G106" s="18">
        <f t="shared" si="22"/>
        <v>0</v>
      </c>
      <c r="H106" s="18">
        <f t="shared" si="22"/>
        <v>0</v>
      </c>
      <c r="I106" s="18">
        <f t="shared" si="22"/>
        <v>0</v>
      </c>
      <c r="J106" s="18">
        <f t="shared" si="22"/>
        <v>0</v>
      </c>
      <c r="K106" s="18">
        <f t="shared" si="22"/>
        <v>0</v>
      </c>
      <c r="L106" s="18">
        <f t="shared" si="22"/>
        <v>0</v>
      </c>
      <c r="M106" s="18">
        <f>+SUM(M107:M108)</f>
        <v>5972812.5</v>
      </c>
      <c r="N106" s="18">
        <f>+SUM(N107:N108)</f>
        <v>7656366.9699999997</v>
      </c>
      <c r="O106" s="18">
        <f>+SUM(O107:O108)</f>
        <v>108409142.765</v>
      </c>
      <c r="P106" s="18">
        <f>+SUM(P107:P108)</f>
        <v>66822581.443570018</v>
      </c>
      <c r="Q106" s="18">
        <f>+SUM(Q107:Q109)</f>
        <v>72374366.189444855</v>
      </c>
      <c r="R106" s="18">
        <f>+SUM(R107:R109)</f>
        <v>360521363.10075212</v>
      </c>
      <c r="S106" s="18">
        <f t="shared" ref="S106:X106" si="23">+SUM(S107:S115)</f>
        <v>79926145.944973871</v>
      </c>
      <c r="T106" s="18">
        <f t="shared" si="23"/>
        <v>386128937.3688972</v>
      </c>
      <c r="U106" s="18">
        <f t="shared" si="23"/>
        <v>1230219251.7</v>
      </c>
      <c r="V106" s="18">
        <f t="shared" si="23"/>
        <v>547160365.21889055</v>
      </c>
      <c r="W106" s="18">
        <f t="shared" si="23"/>
        <v>143840497.27090001</v>
      </c>
      <c r="X106" s="18">
        <f t="shared" si="23"/>
        <v>658938246.4134295</v>
      </c>
      <c r="Y106" s="19">
        <f t="shared" ref="Y106:AB106" si="24">+SUM(Y107:Y115)</f>
        <v>164948923.99000001</v>
      </c>
      <c r="Z106" s="19">
        <f t="shared" si="24"/>
        <v>719143991.33999991</v>
      </c>
      <c r="AA106" s="19">
        <f t="shared" si="24"/>
        <v>260875533.49000001</v>
      </c>
      <c r="AB106" s="19">
        <f t="shared" si="24"/>
        <v>1587426430.5689406</v>
      </c>
      <c r="AC106" s="50">
        <v>7280443435.8018932</v>
      </c>
      <c r="AD106" s="50">
        <v>2311634153.3904881</v>
      </c>
      <c r="AE106" s="50">
        <v>0</v>
      </c>
      <c r="AF106" s="50">
        <v>4106536680.8781033</v>
      </c>
      <c r="AG106" s="50">
        <v>1717338281.25</v>
      </c>
      <c r="AH106" s="50">
        <v>6718069339.0731039</v>
      </c>
      <c r="AI106" s="50">
        <v>563531250</v>
      </c>
      <c r="AJ106" s="50">
        <v>0</v>
      </c>
      <c r="AK106" s="50">
        <v>0</v>
      </c>
      <c r="AL106" s="50">
        <v>622809375</v>
      </c>
      <c r="AM106" s="50">
        <v>0</v>
      </c>
      <c r="AN106" s="50">
        <v>1186340625</v>
      </c>
      <c r="AO106" s="50">
        <v>1247670807.6399999</v>
      </c>
      <c r="AP106" s="50">
        <v>1180838802.21</v>
      </c>
      <c r="AQ106" s="50">
        <f>+AQ113</f>
        <v>357724.17</v>
      </c>
      <c r="AR106" s="50">
        <v>299899922.06</v>
      </c>
      <c r="AS106" s="50">
        <v>389197.59</v>
      </c>
      <c r="AT106" s="50">
        <v>2729156453.6700001</v>
      </c>
    </row>
    <row r="107" spans="2:46" s="25" customFormat="1" ht="12" customHeight="1" outlineLevel="2" x14ac:dyDescent="0.2">
      <c r="B107" s="22"/>
      <c r="C107" s="23"/>
      <c r="D107" s="26" t="s">
        <v>76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5972812.5</v>
      </c>
      <c r="N107" s="27">
        <v>7656366.9699999997</v>
      </c>
      <c r="O107" s="27">
        <v>108409142.765</v>
      </c>
      <c r="P107" s="27">
        <v>66822581.443570018</v>
      </c>
      <c r="Q107" s="27">
        <v>72374366.189444855</v>
      </c>
      <c r="R107" s="27">
        <v>58659866.525877066</v>
      </c>
      <c r="S107" s="27">
        <v>79926145.944973871</v>
      </c>
      <c r="T107" s="27">
        <v>54807426.297181748</v>
      </c>
      <c r="U107" s="27">
        <v>96771751.700000003</v>
      </c>
      <c r="V107" s="27">
        <v>54909259.152569994</v>
      </c>
      <c r="W107" s="27">
        <v>143840497.27090001</v>
      </c>
      <c r="X107" s="27">
        <v>63668744.650687985</v>
      </c>
      <c r="Y107" s="21">
        <v>164948923.99000001</v>
      </c>
      <c r="Z107" s="21">
        <v>56821456.849999994</v>
      </c>
      <c r="AA107" s="21">
        <v>260875533.49000001</v>
      </c>
      <c r="AB107" s="21">
        <v>55295841.631055839</v>
      </c>
      <c r="AC107" s="51">
        <v>266402875.80189374</v>
      </c>
      <c r="AD107" s="51">
        <v>29658415.22548794</v>
      </c>
      <c r="AE107" s="51"/>
      <c r="AF107" s="51"/>
      <c r="AG107" s="51"/>
      <c r="AH107" s="51">
        <v>381129.63999999996</v>
      </c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</row>
    <row r="108" spans="2:46" s="25" customFormat="1" ht="12" customHeight="1" outlineLevel="2" x14ac:dyDescent="0.2">
      <c r="B108" s="22"/>
      <c r="C108" s="23"/>
      <c r="D108" s="26" t="s">
        <v>77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251366692.98487502</v>
      </c>
      <c r="S108" s="27">
        <v>0</v>
      </c>
      <c r="T108" s="27">
        <v>221756628.62818792</v>
      </c>
      <c r="U108" s="27">
        <v>0</v>
      </c>
      <c r="V108" s="27">
        <v>261414357.45374998</v>
      </c>
      <c r="W108" s="27">
        <v>0</v>
      </c>
      <c r="X108" s="27">
        <v>399495111.83536267</v>
      </c>
      <c r="Y108" s="19"/>
      <c r="Z108" s="21">
        <v>444535871.10999995</v>
      </c>
      <c r="AA108" s="21"/>
      <c r="AB108" s="21">
        <v>942773681.42167783</v>
      </c>
      <c r="AC108" s="51">
        <v>3542488560</v>
      </c>
      <c r="AD108" s="51">
        <v>412540426.89999998</v>
      </c>
      <c r="AE108" s="51"/>
      <c r="AF108" s="51">
        <v>132193.51</v>
      </c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</row>
    <row r="109" spans="2:46" s="25" customFormat="1" ht="12" customHeight="1" outlineLevel="2" x14ac:dyDescent="0.2">
      <c r="B109" s="22"/>
      <c r="C109" s="23"/>
      <c r="D109" s="26" t="s">
        <v>78</v>
      </c>
      <c r="E109" s="18"/>
      <c r="F109" s="18"/>
      <c r="G109" s="18"/>
      <c r="H109" s="18"/>
      <c r="I109" s="18"/>
      <c r="J109" s="18"/>
      <c r="K109" s="18"/>
      <c r="L109" s="18"/>
      <c r="M109" s="27"/>
      <c r="N109" s="27"/>
      <c r="O109" s="27"/>
      <c r="P109" s="27"/>
      <c r="Q109" s="27">
        <v>0</v>
      </c>
      <c r="R109" s="27">
        <v>50494803.590000004</v>
      </c>
      <c r="S109" s="27">
        <v>0</v>
      </c>
      <c r="T109" s="27">
        <v>108626017.72352749</v>
      </c>
      <c r="U109" s="27">
        <v>0</v>
      </c>
      <c r="V109" s="27">
        <v>128046526.03</v>
      </c>
      <c r="W109" s="27">
        <v>0</v>
      </c>
      <c r="X109" s="27">
        <v>195774389.92737883</v>
      </c>
      <c r="Y109" s="19"/>
      <c r="Z109" s="21">
        <v>217786663.38</v>
      </c>
      <c r="AA109" s="21"/>
      <c r="AB109" s="21">
        <v>176201395.68999997</v>
      </c>
      <c r="AC109" s="51">
        <v>3471552000</v>
      </c>
      <c r="AD109" s="51">
        <v>404279511.37</v>
      </c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</row>
    <row r="110" spans="2:46" s="25" customFormat="1" ht="12" customHeight="1" outlineLevel="2" x14ac:dyDescent="0.2">
      <c r="B110" s="22"/>
      <c r="C110" s="23"/>
      <c r="D110" s="26" t="s">
        <v>87</v>
      </c>
      <c r="E110" s="18"/>
      <c r="F110" s="18"/>
      <c r="G110" s="18"/>
      <c r="H110" s="18"/>
      <c r="I110" s="18"/>
      <c r="J110" s="18"/>
      <c r="K110" s="18"/>
      <c r="L110" s="1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19"/>
      <c r="Z110" s="21"/>
      <c r="AA110" s="21"/>
      <c r="AB110" s="21">
        <v>413155511.8262068</v>
      </c>
      <c r="AC110" s="51">
        <v>0</v>
      </c>
      <c r="AD110" s="51">
        <v>863676914.55500007</v>
      </c>
      <c r="AE110" s="51">
        <v>0</v>
      </c>
      <c r="AF110" s="51">
        <v>1605068915.5481033</v>
      </c>
      <c r="AG110" s="51">
        <v>0</v>
      </c>
      <c r="AH110" s="51">
        <v>2707521640.6331034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</row>
    <row r="111" spans="2:46" s="25" customFormat="1" ht="12" customHeight="1" outlineLevel="2" x14ac:dyDescent="0.2">
      <c r="B111" s="22"/>
      <c r="C111" s="23"/>
      <c r="D111" s="26" t="s">
        <v>91</v>
      </c>
      <c r="E111" s="18"/>
      <c r="F111" s="18"/>
      <c r="G111" s="18"/>
      <c r="H111" s="18"/>
      <c r="I111" s="18"/>
      <c r="J111" s="18"/>
      <c r="K111" s="18"/>
      <c r="L111" s="1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19"/>
      <c r="Z111" s="21"/>
      <c r="AA111" s="21"/>
      <c r="AB111" s="21"/>
      <c r="AC111" s="51">
        <v>0</v>
      </c>
      <c r="AD111" s="51">
        <v>329503687.19999999</v>
      </c>
      <c r="AE111" s="51">
        <v>0</v>
      </c>
      <c r="AF111" s="51">
        <v>966431681.97000003</v>
      </c>
      <c r="AG111" s="51">
        <v>0</v>
      </c>
      <c r="AH111" s="51">
        <v>1787855225.9200001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1180486446.77</v>
      </c>
      <c r="AQ111" s="51">
        <v>0</v>
      </c>
      <c r="AR111" s="51">
        <v>0</v>
      </c>
      <c r="AS111" s="51">
        <v>0</v>
      </c>
      <c r="AT111" s="51">
        <v>1180486446.77</v>
      </c>
    </row>
    <row r="112" spans="2:46" s="25" customFormat="1" ht="12" customHeight="1" outlineLevel="2" x14ac:dyDescent="0.2">
      <c r="B112" s="22"/>
      <c r="C112" s="23"/>
      <c r="D112" s="26" t="s">
        <v>93</v>
      </c>
      <c r="E112" s="18"/>
      <c r="F112" s="18"/>
      <c r="G112" s="18"/>
      <c r="H112" s="18"/>
      <c r="I112" s="18"/>
      <c r="J112" s="18"/>
      <c r="K112" s="18"/>
      <c r="L112" s="1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19"/>
      <c r="Z112" s="21"/>
      <c r="AA112" s="21"/>
      <c r="AB112" s="21"/>
      <c r="AC112" s="51">
        <v>0</v>
      </c>
      <c r="AD112" s="51">
        <v>687690</v>
      </c>
      <c r="AE112" s="51">
        <v>0</v>
      </c>
      <c r="AF112" s="51">
        <v>800812891.72000003</v>
      </c>
      <c r="AG112" s="51">
        <v>0</v>
      </c>
      <c r="AH112" s="51">
        <v>1291375658.26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966267653.27999997</v>
      </c>
      <c r="AP112" s="51">
        <v>0</v>
      </c>
      <c r="AQ112" s="51">
        <v>0</v>
      </c>
      <c r="AR112" s="51">
        <v>0</v>
      </c>
      <c r="AS112" s="51">
        <v>0</v>
      </c>
      <c r="AT112" s="51">
        <v>966267653.27999997</v>
      </c>
    </row>
    <row r="113" spans="2:46" s="25" customFormat="1" ht="12" customHeight="1" outlineLevel="2" x14ac:dyDescent="0.2">
      <c r="B113" s="22"/>
      <c r="C113" s="23"/>
      <c r="D113" s="26" t="s">
        <v>90</v>
      </c>
      <c r="E113" s="18"/>
      <c r="F113" s="18"/>
      <c r="G113" s="18"/>
      <c r="H113" s="18"/>
      <c r="I113" s="18"/>
      <c r="J113" s="18"/>
      <c r="K113" s="18"/>
      <c r="L113" s="1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19"/>
      <c r="Z113" s="21"/>
      <c r="AA113" s="21"/>
      <c r="AB113" s="21"/>
      <c r="AC113" s="51">
        <v>0</v>
      </c>
      <c r="AD113" s="51">
        <v>271287508.13999999</v>
      </c>
      <c r="AE113" s="51">
        <v>0</v>
      </c>
      <c r="AF113" s="51">
        <v>734090998.13</v>
      </c>
      <c r="AG113" s="51">
        <v>1717338281.25</v>
      </c>
      <c r="AH113" s="51">
        <v>930935684.61999989</v>
      </c>
      <c r="AI113" s="51">
        <v>563531250</v>
      </c>
      <c r="AJ113" s="51">
        <v>0</v>
      </c>
      <c r="AK113" s="51">
        <v>0</v>
      </c>
      <c r="AL113" s="51">
        <v>622809375</v>
      </c>
      <c r="AM113" s="51">
        <v>0</v>
      </c>
      <c r="AN113" s="51">
        <v>1186340625</v>
      </c>
      <c r="AO113" s="51">
        <v>281403154.36000001</v>
      </c>
      <c r="AP113" s="51">
        <v>352355.44</v>
      </c>
      <c r="AQ113" s="51">
        <v>357724.17</v>
      </c>
      <c r="AR113" s="51">
        <v>299899922.06</v>
      </c>
      <c r="AS113" s="51">
        <v>389197.59</v>
      </c>
      <c r="AT113" s="51">
        <v>582402353.62</v>
      </c>
    </row>
    <row r="114" spans="2:46" s="25" customFormat="1" ht="12" customHeight="1" outlineLevel="2" x14ac:dyDescent="0.2">
      <c r="B114" s="22"/>
      <c r="C114" s="23"/>
      <c r="D114" s="26" t="s">
        <v>79</v>
      </c>
      <c r="E114" s="18"/>
      <c r="F114" s="18"/>
      <c r="G114" s="18"/>
      <c r="H114" s="18"/>
      <c r="I114" s="18"/>
      <c r="J114" s="18"/>
      <c r="K114" s="18"/>
      <c r="L114" s="18"/>
      <c r="M114" s="27"/>
      <c r="N114" s="27"/>
      <c r="O114" s="27"/>
      <c r="P114" s="27"/>
      <c r="Q114" s="27"/>
      <c r="R114" s="27"/>
      <c r="S114" s="27">
        <v>0</v>
      </c>
      <c r="T114" s="27">
        <v>938864.72</v>
      </c>
      <c r="U114" s="27">
        <v>570227500</v>
      </c>
      <c r="V114" s="27">
        <v>53317678.422570571</v>
      </c>
      <c r="W114" s="27">
        <v>0</v>
      </c>
      <c r="X114" s="27"/>
      <c r="Y114" s="19"/>
      <c r="Z114" s="19"/>
      <c r="AA114" s="19"/>
      <c r="AB114" s="19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</row>
    <row r="115" spans="2:46" s="25" customFormat="1" ht="12" customHeight="1" outlineLevel="2" x14ac:dyDescent="0.2">
      <c r="B115" s="22"/>
      <c r="C115" s="23"/>
      <c r="D115" s="26" t="s">
        <v>80</v>
      </c>
      <c r="E115" s="18"/>
      <c r="F115" s="18"/>
      <c r="G115" s="18"/>
      <c r="H115" s="18"/>
      <c r="I115" s="18"/>
      <c r="J115" s="18"/>
      <c r="K115" s="18"/>
      <c r="L115" s="18"/>
      <c r="M115" s="27"/>
      <c r="N115" s="27"/>
      <c r="O115" s="27"/>
      <c r="P115" s="27"/>
      <c r="Q115" s="27"/>
      <c r="R115" s="27"/>
      <c r="S115" s="27">
        <v>0</v>
      </c>
      <c r="T115" s="27">
        <v>0</v>
      </c>
      <c r="U115" s="27">
        <v>563220000</v>
      </c>
      <c r="V115" s="27">
        <v>49472544.159999996</v>
      </c>
      <c r="W115" s="27"/>
      <c r="X115" s="27"/>
      <c r="Y115" s="19"/>
      <c r="Z115" s="19"/>
      <c r="AA115" s="19"/>
      <c r="AB115" s="19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</row>
    <row r="116" spans="2:46" s="25" customFormat="1" ht="12" customHeight="1" outlineLevel="2" x14ac:dyDescent="0.2">
      <c r="B116" s="22"/>
      <c r="C116" s="23"/>
      <c r="D116" s="26"/>
      <c r="E116" s="18"/>
      <c r="F116" s="18"/>
      <c r="G116" s="18"/>
      <c r="H116" s="18"/>
      <c r="I116" s="18"/>
      <c r="J116" s="18"/>
      <c r="K116" s="18"/>
      <c r="L116" s="1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19"/>
      <c r="Z116" s="19"/>
      <c r="AA116" s="19"/>
      <c r="AB116" s="19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</row>
    <row r="117" spans="2:46" s="25" customFormat="1" ht="12" customHeight="1" outlineLevel="2" x14ac:dyDescent="0.2">
      <c r="B117" s="22"/>
      <c r="C117" s="23" t="s">
        <v>62</v>
      </c>
      <c r="D117" s="26"/>
      <c r="E117" s="18">
        <f t="shared" ref="E117:Q117" si="25">+SUM(E118:E120)</f>
        <v>0</v>
      </c>
      <c r="F117" s="18">
        <f t="shared" si="25"/>
        <v>0</v>
      </c>
      <c r="G117" s="18">
        <f t="shared" si="25"/>
        <v>0</v>
      </c>
      <c r="H117" s="18">
        <f t="shared" si="25"/>
        <v>0</v>
      </c>
      <c r="I117" s="18">
        <f t="shared" si="25"/>
        <v>0</v>
      </c>
      <c r="J117" s="18">
        <f t="shared" si="25"/>
        <v>0</v>
      </c>
      <c r="K117" s="18">
        <f t="shared" si="25"/>
        <v>0</v>
      </c>
      <c r="L117" s="18">
        <f t="shared" si="25"/>
        <v>0</v>
      </c>
      <c r="M117" s="18">
        <f t="shared" si="25"/>
        <v>0</v>
      </c>
      <c r="N117" s="18">
        <f t="shared" si="25"/>
        <v>0</v>
      </c>
      <c r="O117" s="18">
        <f t="shared" si="25"/>
        <v>0</v>
      </c>
      <c r="P117" s="18">
        <f t="shared" si="25"/>
        <v>0</v>
      </c>
      <c r="Q117" s="18">
        <f t="shared" si="25"/>
        <v>10580659.405923652</v>
      </c>
      <c r="R117" s="18">
        <f t="shared" ref="R117:X117" si="26">+SUM(R118:R120)</f>
        <v>8480338.2692728303</v>
      </c>
      <c r="S117" s="18">
        <f t="shared" si="26"/>
        <v>12357437.652815418</v>
      </c>
      <c r="T117" s="18">
        <f t="shared" si="26"/>
        <v>7893471.4164993661</v>
      </c>
      <c r="U117" s="18">
        <f t="shared" si="26"/>
        <v>16437879.376418423</v>
      </c>
      <c r="V117" s="18">
        <f t="shared" si="26"/>
        <v>9042525.5600000005</v>
      </c>
      <c r="W117" s="18">
        <f>+SUM(W118:W120)</f>
        <v>26875715.34</v>
      </c>
      <c r="X117" s="18">
        <f t="shared" si="26"/>
        <v>10659686.408000002</v>
      </c>
      <c r="Y117" s="19">
        <f t="shared" ref="Y117:AB117" si="27">+SUM(Y118:Y120)</f>
        <v>29873525.919999994</v>
      </c>
      <c r="Z117" s="19">
        <f t="shared" si="27"/>
        <v>8273889.9040000001</v>
      </c>
      <c r="AA117" s="19">
        <f t="shared" si="27"/>
        <v>57801843.160000004</v>
      </c>
      <c r="AB117" s="19">
        <f t="shared" si="27"/>
        <v>7954992.2139999811</v>
      </c>
      <c r="AC117" s="50">
        <v>47592873.890000001</v>
      </c>
      <c r="AD117" s="50">
        <v>5129340.021799989</v>
      </c>
      <c r="AE117" s="50">
        <v>63005497.389999993</v>
      </c>
      <c r="AF117" s="50">
        <v>14013330.630619997</v>
      </c>
      <c r="AG117" s="50">
        <v>98985359.180000007</v>
      </c>
      <c r="AH117" s="50">
        <v>20830412.57</v>
      </c>
      <c r="AI117" s="50">
        <v>10100803.99</v>
      </c>
      <c r="AJ117" s="50">
        <v>10432597.550000001</v>
      </c>
      <c r="AK117" s="50">
        <f>+AK121</f>
        <v>10785390.710000001</v>
      </c>
      <c r="AL117" s="50">
        <v>11133143.960000001</v>
      </c>
      <c r="AM117" s="50">
        <v>11457377.67</v>
      </c>
      <c r="AN117" s="50">
        <v>53909313.880000003</v>
      </c>
      <c r="AO117" s="50">
        <v>2066052.6400000001</v>
      </c>
      <c r="AP117" s="50">
        <v>2123315.89</v>
      </c>
      <c r="AQ117" s="50">
        <f>AQ121</f>
        <v>2184194.14</v>
      </c>
      <c r="AR117" s="50">
        <v>2243953.42</v>
      </c>
      <c r="AS117" s="50">
        <v>2297973.4500000007</v>
      </c>
      <c r="AT117" s="50">
        <v>10915489.540000001</v>
      </c>
    </row>
    <row r="118" spans="2:46" s="25" customFormat="1" ht="12" customHeight="1" outlineLevel="2" x14ac:dyDescent="0.2">
      <c r="B118" s="22"/>
      <c r="C118" s="23"/>
      <c r="D118" s="26" t="s">
        <v>81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9279470.8487098068</v>
      </c>
      <c r="R118" s="27">
        <v>7400207.85857426</v>
      </c>
      <c r="S118" s="27">
        <v>11269978.18</v>
      </c>
      <c r="T118" s="27">
        <v>7024772.4331999999</v>
      </c>
      <c r="U118" s="27">
        <v>14991420.116434671</v>
      </c>
      <c r="V118" s="27">
        <v>7184124.3799999999</v>
      </c>
      <c r="W118" s="27">
        <v>24510896.869999997</v>
      </c>
      <c r="X118" s="27">
        <v>7842764.2880000016</v>
      </c>
      <c r="Y118" s="21">
        <v>27245060.789999995</v>
      </c>
      <c r="Z118" s="21">
        <v>6257688.2439999999</v>
      </c>
      <c r="AA118" s="21">
        <v>52716300.790000007</v>
      </c>
      <c r="AB118" s="21">
        <v>7027532.9179999866</v>
      </c>
      <c r="AC118" s="51">
        <v>30063447</v>
      </c>
      <c r="AD118" s="51">
        <v>1300612.1139999889</v>
      </c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</row>
    <row r="119" spans="2:46" s="14" customFormat="1" ht="12.75" customHeight="1" x14ac:dyDescent="0.2">
      <c r="B119" s="22"/>
      <c r="C119" s="23"/>
      <c r="D119" s="26" t="s">
        <v>82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932052.46756480832</v>
      </c>
      <c r="R119" s="27">
        <v>775555.56034760247</v>
      </c>
      <c r="S119" s="27">
        <v>779013.04281541868</v>
      </c>
      <c r="T119" s="27">
        <v>565596.69703892583</v>
      </c>
      <c r="U119" s="27">
        <v>1036246.1277222385</v>
      </c>
      <c r="V119" s="27">
        <v>1331576.52</v>
      </c>
      <c r="W119" s="27">
        <v>1694257.28</v>
      </c>
      <c r="X119" s="27">
        <v>1546261.2</v>
      </c>
      <c r="Y119" s="21">
        <v>1883249.8</v>
      </c>
      <c r="Z119" s="21">
        <v>1431396.3</v>
      </c>
      <c r="AA119" s="21">
        <v>3643913.36</v>
      </c>
      <c r="AB119" s="21">
        <v>685595.59600000002</v>
      </c>
      <c r="AC119" s="51">
        <v>2078083.17</v>
      </c>
      <c r="AD119" s="51">
        <v>119026.90360000005</v>
      </c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</row>
    <row r="120" spans="2:46" s="14" customFormat="1" ht="12.75" customHeight="1" x14ac:dyDescent="0.2">
      <c r="B120" s="28"/>
      <c r="C120" s="23"/>
      <c r="D120" s="26" t="s">
        <v>83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7">
        <v>369136.08964903618</v>
      </c>
      <c r="R120" s="27">
        <v>304574.85035096772</v>
      </c>
      <c r="S120" s="27">
        <v>308446.43</v>
      </c>
      <c r="T120" s="27">
        <v>303102.28626044031</v>
      </c>
      <c r="U120" s="27">
        <v>410213.13226151292</v>
      </c>
      <c r="V120" s="27">
        <v>526824.66</v>
      </c>
      <c r="W120" s="27">
        <v>670561.18999999994</v>
      </c>
      <c r="X120" s="27">
        <v>1270660.92</v>
      </c>
      <c r="Y120" s="21">
        <v>745215.33</v>
      </c>
      <c r="Z120" s="21">
        <v>584805.36</v>
      </c>
      <c r="AA120" s="21">
        <v>1441629.0100000002</v>
      </c>
      <c r="AB120" s="21">
        <v>241863.69999999425</v>
      </c>
      <c r="AC120" s="51">
        <v>822019.61</v>
      </c>
      <c r="AD120" s="51">
        <v>22980.43</v>
      </c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</row>
    <row r="121" spans="2:46" s="14" customFormat="1" ht="12.75" customHeight="1" x14ac:dyDescent="0.2">
      <c r="B121" s="28"/>
      <c r="C121" s="23"/>
      <c r="D121" s="26" t="s">
        <v>95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7"/>
      <c r="R121" s="27"/>
      <c r="S121" s="27"/>
      <c r="T121" s="27"/>
      <c r="U121" s="27"/>
      <c r="V121" s="27"/>
      <c r="W121" s="27"/>
      <c r="X121" s="27"/>
      <c r="Y121" s="21"/>
      <c r="Z121" s="21"/>
      <c r="AA121" s="21"/>
      <c r="AB121" s="21"/>
      <c r="AC121" s="51">
        <v>14629324.109999999</v>
      </c>
      <c r="AD121" s="51">
        <v>3686720.5742000001</v>
      </c>
      <c r="AE121" s="51">
        <v>63005497.389999993</v>
      </c>
      <c r="AF121" s="51">
        <v>14013330.630619997</v>
      </c>
      <c r="AG121" s="51">
        <v>98985359.180000007</v>
      </c>
      <c r="AH121" s="51">
        <v>20830412.57</v>
      </c>
      <c r="AI121" s="51">
        <v>10100803.99</v>
      </c>
      <c r="AJ121" s="51">
        <v>10432597.550000001</v>
      </c>
      <c r="AK121" s="51">
        <v>10785390.710000001</v>
      </c>
      <c r="AL121" s="51">
        <v>11133143.960000001</v>
      </c>
      <c r="AM121" s="51">
        <v>11457377.67</v>
      </c>
      <c r="AN121" s="51">
        <v>53909313.880000003</v>
      </c>
      <c r="AO121" s="51">
        <v>2066052.6400000001</v>
      </c>
      <c r="AP121" s="51">
        <v>2123315.89</v>
      </c>
      <c r="AQ121" s="51">
        <v>2184194.14</v>
      </c>
      <c r="AR121" s="51">
        <v>2243953.42</v>
      </c>
      <c r="AS121" s="51">
        <v>2297973.4500000007</v>
      </c>
      <c r="AT121" s="51">
        <v>10915489.540000001</v>
      </c>
    </row>
    <row r="122" spans="2:46" s="14" customFormat="1" ht="12" customHeight="1" x14ac:dyDescent="0.2">
      <c r="B122" s="28"/>
      <c r="C122" s="23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38"/>
      <c r="V122" s="38"/>
      <c r="W122" s="38"/>
      <c r="X122" s="38"/>
      <c r="Y122" s="21"/>
      <c r="Z122" s="21"/>
      <c r="AA122" s="21"/>
      <c r="AB122" s="2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</row>
    <row r="123" spans="2:46" s="25" customFormat="1" ht="12" customHeight="1" x14ac:dyDescent="0.2">
      <c r="B123" s="29" t="s">
        <v>61</v>
      </c>
      <c r="C123" s="16"/>
      <c r="D123" s="17"/>
      <c r="E123" s="18">
        <f t="shared" ref="E123:AF123" si="28">+E60+E9</f>
        <v>524016268</v>
      </c>
      <c r="F123" s="19">
        <f t="shared" si="28"/>
        <v>246540349.19</v>
      </c>
      <c r="G123" s="18">
        <f t="shared" si="28"/>
        <v>659054109</v>
      </c>
      <c r="H123" s="19">
        <f t="shared" si="28"/>
        <v>216989632</v>
      </c>
      <c r="I123" s="18">
        <f t="shared" si="28"/>
        <v>730429264.98000002</v>
      </c>
      <c r="J123" s="19">
        <f t="shared" si="28"/>
        <v>252824057.92999998</v>
      </c>
      <c r="K123" s="18">
        <f t="shared" si="28"/>
        <v>823529239.76997566</v>
      </c>
      <c r="L123" s="19">
        <f t="shared" si="28"/>
        <v>273712365.12599194</v>
      </c>
      <c r="M123" s="18">
        <f t="shared" si="28"/>
        <v>887277265.07302165</v>
      </c>
      <c r="N123" s="19">
        <f t="shared" si="28"/>
        <v>297077891.12697953</v>
      </c>
      <c r="O123" s="18">
        <f t="shared" si="28"/>
        <v>995123556.32584357</v>
      </c>
      <c r="P123" s="19">
        <f t="shared" si="28"/>
        <v>280027065.95339358</v>
      </c>
      <c r="Q123" s="18">
        <f t="shared" si="28"/>
        <v>414254401.49382007</v>
      </c>
      <c r="R123" s="19">
        <f t="shared" si="28"/>
        <v>470478501.35209787</v>
      </c>
      <c r="S123" s="18">
        <f t="shared" si="28"/>
        <v>494177864.54048312</v>
      </c>
      <c r="T123" s="19">
        <f t="shared" si="28"/>
        <v>498833626.47063828</v>
      </c>
      <c r="U123" s="19">
        <f t="shared" si="28"/>
        <v>1696965727.634438</v>
      </c>
      <c r="V123" s="19">
        <f t="shared" si="28"/>
        <v>663357306.43196809</v>
      </c>
      <c r="W123" s="19">
        <f t="shared" si="28"/>
        <v>1123470917.6203055</v>
      </c>
      <c r="X123" s="19">
        <f t="shared" si="28"/>
        <v>1133843605.6003501</v>
      </c>
      <c r="Y123" s="19">
        <f t="shared" si="28"/>
        <v>1194062155.7311513</v>
      </c>
      <c r="Z123" s="19">
        <f t="shared" si="28"/>
        <v>1189516820.2940626</v>
      </c>
      <c r="AA123" s="19">
        <f t="shared" si="28"/>
        <v>1337158642.1179597</v>
      </c>
      <c r="AB123" s="19">
        <f t="shared" si="28"/>
        <v>2165399585.1900697</v>
      </c>
      <c r="AC123" s="19">
        <f t="shared" si="28"/>
        <v>8257321015.5591583</v>
      </c>
      <c r="AD123" s="19">
        <f t="shared" si="28"/>
        <v>2667953826.1232052</v>
      </c>
      <c r="AE123" s="19">
        <f t="shared" si="28"/>
        <v>1515325084.76121</v>
      </c>
      <c r="AF123" s="19">
        <f t="shared" si="28"/>
        <v>5642029226.4168329</v>
      </c>
      <c r="AG123" s="19">
        <f>+AG60+AG9</f>
        <v>5519049545.7428493</v>
      </c>
      <c r="AH123" s="19">
        <f>+AH60+AH9</f>
        <v>10095613241.689342</v>
      </c>
      <c r="AI123" s="19">
        <f t="shared" ref="AI123:AT123" si="29">+AI60+AI9</f>
        <v>893408348.26530004</v>
      </c>
      <c r="AJ123" s="19">
        <f t="shared" si="29"/>
        <v>588929870.8787303</v>
      </c>
      <c r="AK123" s="19">
        <f t="shared" si="29"/>
        <v>240152889.76843789</v>
      </c>
      <c r="AL123" s="19">
        <f t="shared" si="29"/>
        <v>781785569.49618816</v>
      </c>
      <c r="AM123" s="19">
        <f t="shared" si="29"/>
        <v>2544710658.112071</v>
      </c>
      <c r="AN123" s="19">
        <f t="shared" si="29"/>
        <v>5048987336.5317812</v>
      </c>
      <c r="AO123" s="19">
        <f t="shared" si="29"/>
        <v>1420468318.2744</v>
      </c>
      <c r="AP123" s="19">
        <f t="shared" si="29"/>
        <v>1321711719.7612698</v>
      </c>
      <c r="AQ123" s="19">
        <f t="shared" si="29"/>
        <v>97940319.780760869</v>
      </c>
      <c r="AR123" s="19">
        <f t="shared" si="29"/>
        <v>367466590.69381011</v>
      </c>
      <c r="AS123" s="19">
        <f t="shared" si="29"/>
        <v>823467359.44726467</v>
      </c>
      <c r="AT123" s="19">
        <f t="shared" si="29"/>
        <v>4031054307.9564757</v>
      </c>
    </row>
    <row r="124" spans="2:46" ht="12" customHeight="1" thickBot="1" x14ac:dyDescent="0.25">
      <c r="B124" s="30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40"/>
      <c r="V124" s="40"/>
      <c r="W124" s="40"/>
      <c r="X124" s="40"/>
      <c r="Y124" s="44"/>
      <c r="Z124" s="44"/>
      <c r="AA124" s="44"/>
      <c r="AB124" s="44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7"/>
    </row>
    <row r="125" spans="2:46" x14ac:dyDescent="0.2">
      <c r="E125" s="34"/>
      <c r="F125" s="34"/>
      <c r="G125" s="34"/>
      <c r="H125" s="34"/>
      <c r="I125" s="34"/>
      <c r="J125" s="34"/>
    </row>
    <row r="126" spans="2:46" x14ac:dyDescent="0.2">
      <c r="C126" s="36" t="s">
        <v>66</v>
      </c>
      <c r="E126" s="34"/>
      <c r="F126" s="34"/>
      <c r="G126" s="34"/>
      <c r="H126" s="34"/>
      <c r="I126" s="34"/>
      <c r="J126" s="34"/>
      <c r="AA126" s="47"/>
      <c r="AC126" s="47"/>
      <c r="AE126" s="53"/>
      <c r="AG126" s="53"/>
      <c r="AH126" s="48"/>
      <c r="AI126" s="66"/>
      <c r="AJ126" s="66"/>
      <c r="AK126" s="66"/>
      <c r="AL126" s="66"/>
      <c r="AM126" s="66"/>
      <c r="AN126" s="66"/>
      <c r="AO126" s="53"/>
      <c r="AP126" s="66"/>
      <c r="AQ126" s="66"/>
      <c r="AR126" s="66"/>
      <c r="AS126" s="66"/>
      <c r="AT126" s="53"/>
    </row>
    <row r="127" spans="2:46" x14ac:dyDescent="0.2">
      <c r="D127" s="41" t="s">
        <v>121</v>
      </c>
      <c r="E127" s="34"/>
      <c r="F127" s="34"/>
      <c r="G127" s="34"/>
      <c r="H127" s="34"/>
      <c r="I127" s="34"/>
      <c r="J127" s="34"/>
      <c r="S127" s="37"/>
      <c r="T127" s="37"/>
      <c r="AA127" s="47"/>
      <c r="AB127" s="47"/>
      <c r="AC127" s="47"/>
      <c r="AD127" s="47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</row>
    <row r="128" spans="2:46" x14ac:dyDescent="0.2">
      <c r="E128" s="34"/>
      <c r="F128" s="34"/>
      <c r="G128" s="34"/>
      <c r="H128" s="34"/>
      <c r="I128" s="34"/>
      <c r="J128" s="34"/>
    </row>
    <row r="129" spans="5:10" x14ac:dyDescent="0.2">
      <c r="E129" s="34"/>
      <c r="F129" s="34"/>
      <c r="G129" s="34"/>
      <c r="H129" s="34"/>
      <c r="I129" s="34"/>
      <c r="J129" s="34"/>
    </row>
    <row r="130" spans="5:10" x14ac:dyDescent="0.2">
      <c r="E130" s="34"/>
      <c r="F130" s="34"/>
      <c r="G130" s="34"/>
      <c r="H130" s="34"/>
      <c r="I130" s="34"/>
      <c r="J130" s="34"/>
    </row>
    <row r="131" spans="5:10" x14ac:dyDescent="0.2">
      <c r="E131" s="34"/>
      <c r="F131" s="34"/>
      <c r="G131" s="34"/>
      <c r="H131" s="34"/>
      <c r="I131" s="34"/>
      <c r="J131" s="34"/>
    </row>
    <row r="132" spans="5:10" x14ac:dyDescent="0.2">
      <c r="E132" s="34"/>
      <c r="F132" s="34"/>
      <c r="G132" s="34"/>
      <c r="H132" s="34"/>
      <c r="I132" s="34"/>
      <c r="J132" s="34"/>
    </row>
    <row r="133" spans="5:10" x14ac:dyDescent="0.2">
      <c r="E133" s="34"/>
      <c r="F133" s="34"/>
      <c r="G133" s="34"/>
      <c r="H133" s="34"/>
      <c r="I133" s="34"/>
      <c r="J133" s="34"/>
    </row>
    <row r="134" spans="5:10" x14ac:dyDescent="0.2">
      <c r="E134" s="34"/>
      <c r="F134" s="34"/>
      <c r="G134" s="34"/>
      <c r="H134" s="34"/>
      <c r="I134" s="34"/>
      <c r="J134" s="34"/>
    </row>
    <row r="135" spans="5:10" x14ac:dyDescent="0.2">
      <c r="E135" s="34"/>
      <c r="F135" s="34"/>
      <c r="G135" s="34"/>
      <c r="H135" s="34"/>
      <c r="I135" s="34"/>
      <c r="J135" s="34"/>
    </row>
    <row r="136" spans="5:10" x14ac:dyDescent="0.2">
      <c r="E136" s="34"/>
      <c r="F136" s="34"/>
      <c r="G136" s="34"/>
      <c r="H136" s="34"/>
      <c r="I136" s="34"/>
      <c r="J136" s="34"/>
    </row>
    <row r="137" spans="5:10" x14ac:dyDescent="0.2">
      <c r="E137" s="34"/>
      <c r="F137" s="34"/>
      <c r="G137" s="34"/>
      <c r="H137" s="34"/>
      <c r="I137" s="34"/>
      <c r="J137" s="34"/>
    </row>
    <row r="138" spans="5:10" x14ac:dyDescent="0.2">
      <c r="E138" s="34"/>
      <c r="F138" s="34"/>
      <c r="G138" s="34"/>
      <c r="H138" s="34"/>
      <c r="I138" s="34"/>
      <c r="J138" s="34"/>
    </row>
    <row r="139" spans="5:10" x14ac:dyDescent="0.2">
      <c r="E139" s="34"/>
      <c r="F139" s="34"/>
      <c r="G139" s="34"/>
      <c r="H139" s="34"/>
      <c r="I139" s="34"/>
      <c r="J139" s="34"/>
    </row>
  </sheetData>
  <mergeCells count="17">
    <mergeCell ref="AG6:AH6"/>
    <mergeCell ref="AI6:AT6"/>
    <mergeCell ref="AE6:AF6"/>
    <mergeCell ref="AC6:AD6"/>
    <mergeCell ref="M6:N6"/>
    <mergeCell ref="AA6:AB6"/>
    <mergeCell ref="O6:P6"/>
    <mergeCell ref="Y6:Z6"/>
    <mergeCell ref="W6:X6"/>
    <mergeCell ref="U6:V6"/>
    <mergeCell ref="S6:T6"/>
    <mergeCell ref="Q6:R6"/>
    <mergeCell ref="B7:D7"/>
    <mergeCell ref="E6:F6"/>
    <mergeCell ref="G6:H6"/>
    <mergeCell ref="I6:J6"/>
    <mergeCell ref="K6:L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7" orientation="landscape" horizontalDpi="300" verticalDpi="300" r:id="rId1"/>
  <headerFooter alignWithMargins="0"/>
  <ignoredErrors>
    <ignoredError sqref="S117:T11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2020-06-17T13:26:08Z</dcterms:modified>
</cp:coreProperties>
</file>