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Enero\"/>
    </mc:Choice>
  </mc:AlternateContent>
  <bookViews>
    <workbookView xWindow="240" yWindow="30" windowWidth="12120" windowHeight="91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Pagados'!$B$1:$AL$125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Pagados'!$D$1:$D$122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Pagados'!$9:$57</definedName>
  </definedNames>
  <calcPr calcId="162913"/>
</workbook>
</file>

<file path=xl/calcChain.xml><?xml version="1.0" encoding="utf-8"?>
<calcChain xmlns="http://schemas.openxmlformats.org/spreadsheetml/2006/main">
  <c r="AL121" i="4" l="1"/>
  <c r="AK121" i="4"/>
  <c r="AJ121" i="4"/>
  <c r="AI121" i="4"/>
  <c r="AG121" i="4" l="1"/>
  <c r="Y61" i="4" l="1"/>
  <c r="AF121" i="4" l="1"/>
  <c r="AE121" i="4"/>
  <c r="AH121" i="4" l="1"/>
  <c r="AD121" i="4" l="1"/>
  <c r="AC121" i="4"/>
  <c r="AB115" i="4" l="1"/>
  <c r="AB104" i="4"/>
  <c r="AB92" i="4"/>
  <c r="AB61" i="4"/>
  <c r="AB53" i="4"/>
  <c r="AB49" i="4"/>
  <c r="AB26" i="4"/>
  <c r="AB23" i="4"/>
  <c r="AB16" i="4"/>
  <c r="AB11" i="4"/>
  <c r="AA115" i="4"/>
  <c r="AA104" i="4"/>
  <c r="AA92" i="4"/>
  <c r="AA61" i="4"/>
  <c r="AA53" i="4"/>
  <c r="AA49" i="4"/>
  <c r="AA26" i="4"/>
  <c r="AA23" i="4"/>
  <c r="AA16" i="4"/>
  <c r="AA11" i="4"/>
  <c r="AA9" i="4" l="1"/>
  <c r="AA59" i="4" l="1"/>
  <c r="AA121" i="4" s="1"/>
  <c r="AB59" i="4" l="1"/>
  <c r="AB9" i="4"/>
  <c r="AB121" i="4" l="1"/>
  <c r="Y26" i="4"/>
  <c r="Z11" i="4"/>
  <c r="Y11" i="4"/>
  <c r="Z115" i="4"/>
  <c r="Y115" i="4"/>
  <c r="W115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E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Z61" i="4"/>
  <c r="F64" i="4"/>
  <c r="H64" i="4"/>
  <c r="J64" i="4"/>
  <c r="F65" i="4"/>
  <c r="H65" i="4"/>
  <c r="J65" i="4"/>
  <c r="F66" i="4"/>
  <c r="H66" i="4"/>
  <c r="J66" i="4"/>
  <c r="F67" i="4"/>
  <c r="F73" i="4"/>
  <c r="H73" i="4"/>
  <c r="J73" i="4"/>
  <c r="F74" i="4"/>
  <c r="H74" i="4"/>
  <c r="I74" i="4"/>
  <c r="I61" i="4" s="1"/>
  <c r="J74" i="4"/>
  <c r="F75" i="4"/>
  <c r="G75" i="4"/>
  <c r="H75" i="4"/>
  <c r="F76" i="4"/>
  <c r="G76" i="4"/>
  <c r="H76" i="4"/>
  <c r="F77" i="4"/>
  <c r="H77" i="4"/>
  <c r="E92" i="4"/>
  <c r="G92" i="4"/>
  <c r="I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F98" i="4"/>
  <c r="F92" i="4" s="1"/>
  <c r="H98" i="4"/>
  <c r="H92" i="4" s="1"/>
  <c r="J98" i="4"/>
  <c r="J92" i="4" s="1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X115" i="4"/>
  <c r="F26" i="4"/>
  <c r="H16" i="4"/>
  <c r="S59" i="4" l="1"/>
  <c r="O59" i="4"/>
  <c r="J61" i="4"/>
  <c r="J59" i="4" s="1"/>
  <c r="Y59" i="4"/>
  <c r="W59" i="4"/>
  <c r="K59" i="4"/>
  <c r="U9" i="4"/>
  <c r="G61" i="4"/>
  <c r="G59" i="4" s="1"/>
  <c r="Y9" i="4"/>
  <c r="Q9" i="4"/>
  <c r="M9" i="4"/>
  <c r="H26" i="4"/>
  <c r="H9" i="4" s="1"/>
  <c r="X9" i="4"/>
  <c r="P9" i="4"/>
  <c r="V59" i="4"/>
  <c r="N59" i="4"/>
  <c r="H61" i="4"/>
  <c r="H59" i="4" s="1"/>
  <c r="T9" i="4"/>
  <c r="L9" i="4"/>
  <c r="R59" i="4"/>
  <c r="F16" i="4"/>
  <c r="F9" i="4" s="1"/>
  <c r="E26" i="4"/>
  <c r="E9" i="4" s="1"/>
  <c r="J16" i="4"/>
  <c r="Z59" i="4"/>
  <c r="X59" i="4"/>
  <c r="T59" i="4"/>
  <c r="P59" i="4"/>
  <c r="L59" i="4"/>
  <c r="E59" i="4"/>
  <c r="I59" i="4"/>
  <c r="F61" i="4"/>
  <c r="F59" i="4" s="1"/>
  <c r="U59" i="4"/>
  <c r="Q59" i="4"/>
  <c r="M59" i="4"/>
  <c r="J26" i="4"/>
  <c r="N9" i="4"/>
  <c r="Z9" i="4"/>
  <c r="V9" i="4"/>
  <c r="R9" i="4"/>
  <c r="W9" i="4"/>
  <c r="S9" i="4"/>
  <c r="S121" i="4" s="1"/>
  <c r="O9" i="4"/>
  <c r="O121" i="4" s="1"/>
  <c r="K9" i="4"/>
  <c r="G9" i="4"/>
  <c r="I9" i="4"/>
  <c r="K121" i="4" l="1"/>
  <c r="W121" i="4"/>
  <c r="U121" i="4"/>
  <c r="V121" i="4"/>
  <c r="M121" i="4"/>
  <c r="N121" i="4"/>
  <c r="P121" i="4"/>
  <c r="I121" i="4"/>
  <c r="X121" i="4"/>
  <c r="R121" i="4"/>
  <c r="Y121" i="4"/>
  <c r="H121" i="4"/>
  <c r="J9" i="4"/>
  <c r="J121" i="4" s="1"/>
  <c r="L121" i="4"/>
  <c r="Q121" i="4"/>
  <c r="G121" i="4"/>
  <c r="T121" i="4"/>
  <c r="E121" i="4"/>
  <c r="F121" i="4"/>
  <c r="Z121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<sst xmlns="http://schemas.openxmlformats.org/spreadsheetml/2006/main" count="139" uniqueCount="112">
  <si>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</si>
  <si>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</si>
  <si>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</si>
  <si>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</si>
  <si>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</si>
  <si>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</si>
  <si>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</si>
  <si>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</si>
  <si>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</si>
  <si>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</si>
  <si>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</si>
  <si>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</si>
  <si>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</si>
  <si>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</si>
  <si>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</si>
  <si>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</si>
  <si>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</si>
  <si>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</si>
  <si>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</si>
  <si>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</si>
  <si>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</si>
  <si>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</si>
  <si>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</si>
  <si>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</si>
  <si>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</si>
  <si>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</si>
  <si>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</si>
  <si>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</si>
  <si>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</si>
  <si>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</si>
  <si>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</si>
  <si>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</si>
  <si>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</si>
  <si>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</si>
  <si>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</si>
  <si>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</si>
  <si>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</si>
  <si>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</si>
  <si>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</si>
  <si>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</si>
  <si>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</si>
  <si>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</si>
  <si>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</si>
  <si>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</si>
  <si>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</si>
  <si>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1.6. Varios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</si>
  <si>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</si>
  <si>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</si>
  <si>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</si>
  <si>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</si>
  <si>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</si>
  <si>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</si>
  <si>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</si>
  <si>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</si>
  <si>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</si>
  <si>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</si>
  <si>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</si>
  <si>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</si>
  <si>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</si>
  <si>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</si>
  <si>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</si>
  <si>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</si>
  <si>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</si>
  <si>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</si>
  <si>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</si>
  <si>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</si>
  <si>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</si>
  <si>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</si>
  <si>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</si>
  <si>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</si>
  <si>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</si>
  <si>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</si>
  <si>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</si>
  <si>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</si>
  <si>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</si>
  <si>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</si>
  <si>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</si>
  <si>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</si>
  <si>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</si>
  <si>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</si>
  <si>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</si>
  <si>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</si>
  <si>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</si>
  <si>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</si>
  <si>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</si>
  <si>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</si>
  <si>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</si>
  <si>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</si>
  <si>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</si>
  <si>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</si>
  <si>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</si>
  <si>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</si>
  <si>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PFD</t>
  </si>
  <si>
    <t>Título Internacional al 7,125% con vencimiento 2027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</si>
  <si>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</si>
  <si>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</si>
  <si>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</si>
  <si>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</si>
  <si>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</si>
  <si>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</si>
  <si>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</si>
  <si>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</si>
  <si>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ENERO</t>
  </si>
  <si>
    <t>Amortización ACUMULADA</t>
  </si>
  <si>
    <t>Interés (*) ENERO</t>
  </si>
  <si>
    <t>Interés (*) ACUMULADO</t>
  </si>
  <si>
    <t>BID 1134/OC-AR BID 940</t>
  </si>
  <si>
    <t>OFID</t>
  </si>
  <si>
    <t>FONDO KUWAITI</t>
  </si>
  <si>
    <t>2.2. Bancos Extranjeros y Otros Organismos</t>
  </si>
  <si>
    <t>(**) Pagado a Enero 2020</t>
  </si>
  <si>
    <t xml:space="preserve">Servicios de Deuda Pagados año 2005 a 2020 -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</si>
</sst>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6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4" fontId="39" fillId="0" borderId="0" xfId="0" applyNumberFormat="1" applyFont="1" applyFill="1" applyAlignment="1">
      <alignment horizontal="right"/>
    </xf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0" fontId="36" fillId="25" borderId="17" xfId="0" applyFont="1" applyFill="1" applyBorder="1" applyAlignment="1">
      <alignment wrapText="1"/>
    </xf>
    <xf numFmtId="4" fontId="20" fillId="0" borderId="21" xfId="0" applyNumberFormat="1" applyFont="1" applyFill="1" applyBorder="1"/>
    <xf numFmtId="3" fontId="24" fillId="24" borderId="22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38" fillId="24" borderId="22" xfId="0" applyNumberFormat="1" applyFont="1" applyFill="1" applyBorder="1" applyAlignment="1">
      <alignment horizontal="center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333375</xdr:colOff>
      <xdr:row>1</xdr:row>
      <xdr:rowOff>38100</xdr:rowOff>
    </xdr:from>
    <xdr:to>
      <xdr:col>37</xdr:col>
      <xdr:colOff>847725</xdr:colOff>
      <xdr:row>3</xdr:row>
      <xdr:rowOff>114300</xdr:rowOff>
    </xdr:to>
    <xdr:pic>
      <xdr:nvPicPr>
        <xdr:cNvPr id="3" name="Picture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L137"/>
  <sheetViews>
    <sheetView showGridLines="0" tabSelected="1" view="pageBreakPreview" zoomScaleNormal="100" zoomScaleSheetLayoutView="100" workbookViewId="0">
      <pane xSplit="4" ySplit="8" topLeftCell="AI9" activePane="bottomRight" state="frozen"/>
      <selection activeCell="B65" sqref="B65"/>
      <selection pane="topRight" activeCell="B65" sqref="B65"/>
      <selection pane="bottomLeft" activeCell="B65" sqref="B65"/>
      <selection pane="bottomRight" activeCell="AI9" sqref="AI9"/>
    </sheetView>
  </sheetViews>
  <sheetFormatPr baseColWidth="10" defaultColWidth="10.7109375" defaultRowHeight="11.25" outlineLevelRow="2" x14ac:dyDescent="0.2"/>
  <cols>
    <col min="1" max="1" width="11.42578125" style="6" customWidth="1"/>
    <col min="2" max="2" width="0.85546875" style="6" customWidth="1"/>
    <col min="3" max="3" width="1.5703125" style="6" customWidth="1"/>
    <col min="4" max="4" width="54.7109375" style="35" customWidth="1"/>
    <col min="5" max="6" width="15.28515625" style="6" customWidth="1"/>
    <col min="7" max="8" width="15" style="6" customWidth="1"/>
    <col min="9" max="10" width="13.5703125" style="6" customWidth="1"/>
    <col min="11" max="12" width="14.42578125" style="6" customWidth="1"/>
    <col min="13" max="13" width="13.28515625" style="6" customWidth="1"/>
    <col min="14" max="14" width="13.7109375" style="6" customWidth="1"/>
    <col min="15" max="16" width="13.5703125" style="6" customWidth="1"/>
    <col min="17" max="17" width="12.42578125" style="6" customWidth="1"/>
    <col min="18" max="18" width="14" style="6" customWidth="1"/>
    <col min="19" max="20" width="13.5703125" style="6" customWidth="1"/>
    <col min="21" max="21" width="17.7109375" style="6" customWidth="1"/>
    <col min="22" max="22" width="14.28515625" style="6" customWidth="1"/>
    <col min="23" max="23" width="15.5703125" style="6" customWidth="1"/>
    <col min="24" max="24" width="16.7109375" style="6" customWidth="1"/>
    <col min="25" max="25" width="15.5703125" style="45" customWidth="1"/>
    <col min="26" max="26" width="16.7109375" style="45" customWidth="1"/>
    <col min="27" max="27" width="15.42578125" style="6" customWidth="1"/>
    <col min="28" max="28" width="16.85546875" style="6" customWidth="1"/>
    <col min="29" max="29" width="15.42578125" style="6" customWidth="1"/>
    <col min="30" max="30" width="16.85546875" style="6" customWidth="1"/>
    <col min="31" max="31" width="15.42578125" style="6" customWidth="1"/>
    <col min="32" max="32" width="16.85546875" style="6" customWidth="1"/>
    <col min="33" max="34" width="15.42578125" style="6" customWidth="1"/>
    <col min="35" max="35" width="16.85546875" style="6" bestFit="1" customWidth="1"/>
    <col min="36" max="36" width="22.140625" style="6" bestFit="1" customWidth="1"/>
    <col min="37" max="37" width="22.140625" style="6" customWidth="1"/>
    <col min="38" max="38" width="19.42578125" style="6" bestFit="1" customWidth="1"/>
    <col min="39" max="16384" width="10.7109375" style="6"/>
  </cols>
  <sheetData>
    <row r="1" spans="2:38" s="3" customFormat="1" ht="18.75" customHeight="1" x14ac:dyDescent="0.25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38" s="3" customFormat="1" ht="18.75" customHeight="1" x14ac:dyDescent="0.25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38" s="3" customFormat="1" ht="18.75" customHeight="1" x14ac:dyDescent="0.25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38" s="3" customFormat="1" ht="18.75" customHeight="1" x14ac:dyDescent="0.3">
      <c r="B4" s="2"/>
      <c r="D4" s="5" t="s">
        <v>111</v>
      </c>
      <c r="E4" s="4"/>
      <c r="F4" s="4"/>
      <c r="G4" s="4"/>
      <c r="H4" s="4"/>
      <c r="I4" s="4"/>
      <c r="J4" s="4"/>
      <c r="Y4" s="42"/>
      <c r="Z4" s="42"/>
    </row>
    <row r="5" spans="2:38" s="3" customFormat="1" ht="18.75" customHeight="1" thickBot="1" x14ac:dyDescent="0.3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38" ht="13.5" customHeight="1" thickBot="1" x14ac:dyDescent="0.25">
      <c r="D6" s="7"/>
      <c r="E6" s="58">
        <v>2005</v>
      </c>
      <c r="F6" s="61"/>
      <c r="G6" s="58">
        <v>2006</v>
      </c>
      <c r="H6" s="61"/>
      <c r="I6" s="58">
        <v>2007</v>
      </c>
      <c r="J6" s="61"/>
      <c r="K6" s="58">
        <v>2008</v>
      </c>
      <c r="L6" s="61"/>
      <c r="M6" s="58">
        <v>2009</v>
      </c>
      <c r="N6" s="61"/>
      <c r="O6" s="58">
        <v>2010</v>
      </c>
      <c r="P6" s="61"/>
      <c r="Q6" s="58">
        <v>2011</v>
      </c>
      <c r="R6" s="61"/>
      <c r="S6" s="58">
        <v>2012</v>
      </c>
      <c r="T6" s="61"/>
      <c r="U6" s="58">
        <v>2013</v>
      </c>
      <c r="V6" s="61"/>
      <c r="W6" s="58">
        <v>2014</v>
      </c>
      <c r="X6" s="61"/>
      <c r="Y6" s="62">
        <v>2015</v>
      </c>
      <c r="Z6" s="60"/>
      <c r="AA6" s="58">
        <v>2016</v>
      </c>
      <c r="AB6" s="60"/>
      <c r="AC6" s="58">
        <v>2017</v>
      </c>
      <c r="AD6" s="60"/>
      <c r="AE6" s="58">
        <v>2018</v>
      </c>
      <c r="AF6" s="60"/>
      <c r="AG6" s="58">
        <v>2019</v>
      </c>
      <c r="AH6" s="59"/>
      <c r="AI6" s="59">
        <v>2020</v>
      </c>
      <c r="AJ6" s="59"/>
      <c r="AK6" s="59"/>
      <c r="AL6" s="59"/>
    </row>
    <row r="7" spans="2:38" s="9" customFormat="1" ht="12" thickBot="1" x14ac:dyDescent="0.25">
      <c r="B7" s="63" t="s">
        <v>21</v>
      </c>
      <c r="C7" s="64"/>
      <c r="D7" s="65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65</v>
      </c>
      <c r="U7" s="8" t="s">
        <v>22</v>
      </c>
      <c r="V7" s="8" t="s">
        <v>65</v>
      </c>
      <c r="W7" s="8" t="s">
        <v>22</v>
      </c>
      <c r="X7" s="8" t="s">
        <v>65</v>
      </c>
      <c r="Y7" s="46" t="s">
        <v>22</v>
      </c>
      <c r="Z7" s="46" t="s">
        <v>65</v>
      </c>
      <c r="AA7" s="46" t="s">
        <v>22</v>
      </c>
      <c r="AB7" s="46" t="s">
        <v>65</v>
      </c>
      <c r="AC7" s="46" t="s">
        <v>22</v>
      </c>
      <c r="AD7" s="46" t="s">
        <v>65</v>
      </c>
      <c r="AE7" s="46" t="s">
        <v>22</v>
      </c>
      <c r="AF7" s="46" t="s">
        <v>65</v>
      </c>
      <c r="AG7" s="46" t="s">
        <v>22</v>
      </c>
      <c r="AH7" s="46" t="s">
        <v>65</v>
      </c>
      <c r="AI7" s="8" t="s">
        <v>102</v>
      </c>
      <c r="AJ7" s="8" t="s">
        <v>103</v>
      </c>
      <c r="AK7" s="8" t="s">
        <v>104</v>
      </c>
      <c r="AL7" s="8" t="s">
        <v>105</v>
      </c>
    </row>
    <row r="8" spans="2:38" s="14" customFormat="1" ht="6.75" customHeight="1" x14ac:dyDescent="0.2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9"/>
      <c r="AD8" s="49"/>
      <c r="AE8" s="49"/>
      <c r="AF8" s="49"/>
      <c r="AG8" s="49"/>
      <c r="AH8" s="49"/>
      <c r="AI8" s="49"/>
      <c r="AJ8" s="49"/>
      <c r="AK8" s="56"/>
      <c r="AL8" s="38"/>
    </row>
    <row r="9" spans="2:38" s="14" customFormat="1" ht="12" customHeight="1" x14ac:dyDescent="0.2">
      <c r="B9" s="15" t="s">
        <v>24</v>
      </c>
      <c r="C9" s="16"/>
      <c r="D9" s="17"/>
      <c r="E9" s="18">
        <f>+E11+E16+E26+E49+E53+E56</f>
        <v>405632075</v>
      </c>
      <c r="F9" s="19">
        <f>SUM(F11+F16+F26+F49+F53)</f>
        <v>112174618.01000001</v>
      </c>
      <c r="G9" s="18">
        <f>+G11+G16+G26+G49+G53+G56</f>
        <v>485376450</v>
      </c>
      <c r="H9" s="19">
        <f>SUM(H11+H16+H26+H49+H53)</f>
        <v>125823357</v>
      </c>
      <c r="I9" s="18">
        <f>+I11+I16+I26+I49+I53+I56</f>
        <v>527486494.82999998</v>
      </c>
      <c r="J9" s="19">
        <f>SUM(J11+J16+J26+J49+J53)</f>
        <v>151421564.73999998</v>
      </c>
      <c r="K9" s="18">
        <f>+K11+K16+K26+K49+K53+K56</f>
        <v>598002192.87944055</v>
      </c>
      <c r="L9" s="19">
        <f>SUM(L11+L16+L26+L49+L53)</f>
        <v>179656298.01853201</v>
      </c>
      <c r="M9" s="18">
        <f>+M11+M16+M26+M49+M53+M56</f>
        <v>624833349.2875334</v>
      </c>
      <c r="N9" s="19">
        <f>SUM(N11+N16+N26+N49+N53)</f>
        <v>190861820.10031033</v>
      </c>
      <c r="O9" s="18">
        <f t="shared" ref="O9:Z9" si="0">+O11+O16+O23+O26+O49+O53+O56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+Y11+Y16+Y23+Y26+Y49+Y53+Y56</f>
        <v>373264305.75115126</v>
      </c>
      <c r="Z9" s="19">
        <f t="shared" si="0"/>
        <v>331896373.0000627</v>
      </c>
      <c r="AA9" s="19">
        <f>+AA11+AA16+AA23+AA26+AA49+AA53+AA56</f>
        <v>330996324.9879598</v>
      </c>
      <c r="AB9" s="19">
        <f t="shared" ref="AB9" si="1">+AB11+AB16+AB23+AB26+AB49+AB53+AB56</f>
        <v>369804276.59712911</v>
      </c>
      <c r="AC9" s="50">
        <v>141344273.5572646</v>
      </c>
      <c r="AD9" s="50">
        <v>75916511.340916947</v>
      </c>
      <c r="AE9" s="50">
        <v>310425067.48120964</v>
      </c>
      <c r="AF9" s="50">
        <v>637897053.35810959</v>
      </c>
      <c r="AG9" s="50">
        <v>1066543578.9628488</v>
      </c>
      <c r="AH9" s="50">
        <v>1573283158.18624</v>
      </c>
      <c r="AI9" s="50">
        <v>154407607.62</v>
      </c>
      <c r="AJ9" s="50">
        <v>154407607.62366346</v>
      </c>
      <c r="AK9" s="50">
        <v>108197806</v>
      </c>
      <c r="AL9" s="50">
        <v>108197806</v>
      </c>
    </row>
    <row r="10" spans="2:38" s="14" customFormat="1" ht="6.75" customHeight="1" outlineLevel="1" x14ac:dyDescent="0.2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2:38" s="25" customFormat="1" ht="12" customHeight="1" outlineLevel="1" x14ac:dyDescent="0.2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50">
        <v>19441914.977264605</v>
      </c>
      <c r="AD11" s="50">
        <v>771532.37645965733</v>
      </c>
      <c r="AE11" s="50">
        <v>2477189.4978431496</v>
      </c>
      <c r="AF11" s="50">
        <v>9521.3337191656119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</row>
    <row r="12" spans="2:38" s="25" customFormat="1" ht="12" customHeight="1" outlineLevel="2" x14ac:dyDescent="0.2">
      <c r="B12" s="22"/>
      <c r="C12" s="23"/>
      <c r="D12" s="26" t="s">
        <v>84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1">
        <v>12196531.896477535</v>
      </c>
      <c r="AD12" s="51">
        <v>186363.5353018915</v>
      </c>
      <c r="AE12" s="51">
        <v>2477189.4978431496</v>
      </c>
      <c r="AF12" s="51">
        <v>9521.3337191656119</v>
      </c>
      <c r="AG12" s="51"/>
      <c r="AH12" s="51"/>
      <c r="AI12" s="51"/>
      <c r="AJ12" s="51"/>
      <c r="AK12" s="51"/>
      <c r="AL12" s="51"/>
    </row>
    <row r="13" spans="2:38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1">
        <v>6835759.1894791229</v>
      </c>
      <c r="AD13" s="51">
        <v>567730.22582980583</v>
      </c>
      <c r="AE13" s="51"/>
      <c r="AF13" s="51"/>
      <c r="AG13" s="51"/>
      <c r="AH13" s="51"/>
      <c r="AI13" s="51"/>
      <c r="AJ13" s="51"/>
      <c r="AK13" s="51"/>
      <c r="AL13" s="51"/>
    </row>
    <row r="14" spans="2:38" s="25" customFormat="1" ht="12" customHeight="1" outlineLevel="2" x14ac:dyDescent="0.2">
      <c r="B14" s="22"/>
      <c r="C14" s="23"/>
      <c r="D14" s="26" t="s">
        <v>67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1">
        <v>409623.89130794769</v>
      </c>
      <c r="AD14" s="51">
        <v>17438.615327959989</v>
      </c>
      <c r="AE14" s="51"/>
      <c r="AF14" s="51"/>
      <c r="AG14" s="51"/>
      <c r="AH14" s="51"/>
      <c r="AI14" s="51"/>
      <c r="AJ14" s="51"/>
      <c r="AK14" s="51"/>
      <c r="AL14" s="51"/>
    </row>
    <row r="15" spans="2:38" s="14" customFormat="1" ht="6.75" customHeight="1" outlineLevel="1" x14ac:dyDescent="0.2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2:38" s="25" customFormat="1" ht="12" customHeight="1" outlineLevel="1" x14ac:dyDescent="0.2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50">
        <v>14188759.120000001</v>
      </c>
      <c r="AD16" s="50">
        <v>8143446.8887363952</v>
      </c>
      <c r="AE16" s="50">
        <v>28100297.450000003</v>
      </c>
      <c r="AF16" s="50">
        <v>14324443.794390405</v>
      </c>
      <c r="AG16" s="50">
        <v>48226553.095759995</v>
      </c>
      <c r="AH16" s="50">
        <v>19771996.656239998</v>
      </c>
      <c r="AI16" s="50">
        <v>0</v>
      </c>
      <c r="AJ16" s="50">
        <v>0</v>
      </c>
      <c r="AK16" s="50">
        <v>0</v>
      </c>
      <c r="AL16" s="50">
        <v>0</v>
      </c>
    </row>
    <row r="17" spans="2:38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1"/>
      <c r="AD17" s="51"/>
      <c r="AE17" s="51"/>
      <c r="AF17" s="51"/>
      <c r="AG17" s="51"/>
      <c r="AH17" s="51"/>
      <c r="AI17" s="51"/>
      <c r="AJ17" s="51"/>
      <c r="AK17" s="51"/>
      <c r="AL17" s="51"/>
    </row>
    <row r="18" spans="2:38" s="25" customFormat="1" ht="12" customHeight="1" outlineLevel="2" x14ac:dyDescent="0.2">
      <c r="B18" s="22"/>
      <c r="C18" s="23"/>
      <c r="D18" s="26" t="s">
        <v>69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1">
        <v>14188759.120000001</v>
      </c>
      <c r="AD18" s="51">
        <v>8143446.8887363952</v>
      </c>
      <c r="AE18" s="51">
        <v>28100297.450000003</v>
      </c>
      <c r="AF18" s="51">
        <v>14324443.794390405</v>
      </c>
      <c r="AG18" s="51">
        <v>48226553.095759995</v>
      </c>
      <c r="AH18" s="51">
        <v>19771996.656239998</v>
      </c>
      <c r="AI18" s="51">
        <v>0</v>
      </c>
      <c r="AJ18" s="51">
        <v>0</v>
      </c>
      <c r="AK18" s="51">
        <v>0</v>
      </c>
      <c r="AL18" s="51">
        <v>0</v>
      </c>
    </row>
    <row r="19" spans="2:38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1"/>
      <c r="AD19" s="51"/>
      <c r="AE19" s="51"/>
      <c r="AF19" s="51"/>
      <c r="AG19" s="51"/>
      <c r="AH19" s="51"/>
      <c r="AI19" s="51"/>
      <c r="AJ19" s="51"/>
      <c r="AK19" s="51"/>
      <c r="AL19" s="51"/>
    </row>
    <row r="20" spans="2:38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1"/>
      <c r="AD20" s="51"/>
      <c r="AE20" s="51"/>
      <c r="AF20" s="51"/>
      <c r="AG20" s="51"/>
      <c r="AH20" s="51"/>
      <c r="AI20" s="51"/>
      <c r="AJ20" s="51"/>
      <c r="AK20" s="51"/>
      <c r="AL20" s="51"/>
    </row>
    <row r="21" spans="2:38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</row>
    <row r="22" spans="2:38" s="14" customFormat="1" ht="6.75" customHeight="1" outlineLevel="1" x14ac:dyDescent="0.2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2:38" s="25" customFormat="1" ht="12" customHeight="1" outlineLevel="1" x14ac:dyDescent="0.2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2:38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51"/>
    </row>
    <row r="25" spans="2:38" s="14" customFormat="1" ht="6.75" customHeight="1" outlineLevel="1" x14ac:dyDescent="0.2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1"/>
      <c r="AD25" s="51"/>
      <c r="AE25" s="51"/>
      <c r="AF25" s="51"/>
      <c r="AG25" s="51"/>
      <c r="AH25" s="51"/>
      <c r="AI25" s="51"/>
      <c r="AJ25" s="51"/>
      <c r="AK25" s="51"/>
      <c r="AL25" s="51"/>
    </row>
    <row r="26" spans="2:38" s="25" customFormat="1" ht="12" customHeight="1" outlineLevel="1" x14ac:dyDescent="0.2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50">
        <v>107713599.45999999</v>
      </c>
      <c r="AD26" s="50">
        <v>67001532.075720891</v>
      </c>
      <c r="AE26" s="50">
        <v>279847580.5333665</v>
      </c>
      <c r="AF26" s="50">
        <v>623563088.23000002</v>
      </c>
      <c r="AG26" s="50">
        <v>1018317025.8670888</v>
      </c>
      <c r="AH26" s="50">
        <v>1553511161.53</v>
      </c>
      <c r="AI26" s="50">
        <v>154407607.62</v>
      </c>
      <c r="AJ26" s="50">
        <v>154407607.62366346</v>
      </c>
      <c r="AK26" s="50">
        <v>108197806</v>
      </c>
      <c r="AL26" s="50">
        <v>108197806</v>
      </c>
    </row>
    <row r="27" spans="2:38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1"/>
      <c r="AD27" s="51"/>
      <c r="AE27" s="51"/>
      <c r="AF27" s="51"/>
      <c r="AG27" s="51"/>
      <c r="AH27" s="51"/>
      <c r="AI27" s="51"/>
      <c r="AJ27" s="51"/>
      <c r="AK27" s="51"/>
      <c r="AL27" s="51"/>
    </row>
    <row r="28" spans="2:38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1"/>
      <c r="AD28" s="51"/>
      <c r="AE28" s="51"/>
      <c r="AF28" s="51"/>
      <c r="AG28" s="51"/>
      <c r="AH28" s="51"/>
      <c r="AI28" s="51"/>
      <c r="AJ28" s="51"/>
      <c r="AK28" s="51"/>
      <c r="AL28" s="51"/>
    </row>
    <row r="29" spans="2:38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2:38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</row>
    <row r="31" spans="2:38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32" spans="2:38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1"/>
      <c r="AD32" s="51"/>
      <c r="AE32" s="51"/>
      <c r="AF32" s="51"/>
      <c r="AG32" s="51"/>
      <c r="AH32" s="51"/>
      <c r="AI32" s="51"/>
      <c r="AJ32" s="51"/>
      <c r="AK32" s="51"/>
      <c r="AL32" s="51"/>
    </row>
    <row r="33" spans="2:38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</row>
    <row r="34" spans="2:38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1"/>
      <c r="AD34" s="51"/>
      <c r="AE34" s="51"/>
      <c r="AF34" s="51"/>
      <c r="AG34" s="51"/>
      <c r="AH34" s="51"/>
      <c r="AI34" s="51"/>
      <c r="AJ34" s="51"/>
      <c r="AK34" s="51"/>
      <c r="AL34" s="51"/>
    </row>
    <row r="35" spans="2:38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1"/>
      <c r="AD35" s="51"/>
      <c r="AE35" s="51"/>
      <c r="AF35" s="51"/>
      <c r="AG35" s="51"/>
      <c r="AH35" s="51"/>
      <c r="AI35" s="51"/>
      <c r="AJ35" s="51"/>
      <c r="AK35" s="51"/>
      <c r="AL35" s="51"/>
    </row>
    <row r="36" spans="2:38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1"/>
      <c r="AD36" s="51"/>
      <c r="AE36" s="51"/>
      <c r="AF36" s="51"/>
      <c r="AG36" s="51"/>
      <c r="AH36" s="51"/>
      <c r="AI36" s="51"/>
      <c r="AJ36" s="51"/>
      <c r="AK36" s="51"/>
      <c r="AL36" s="51"/>
    </row>
    <row r="37" spans="2:38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1"/>
      <c r="AD37" s="51"/>
      <c r="AE37" s="51"/>
      <c r="AF37" s="51"/>
      <c r="AG37" s="51"/>
      <c r="AH37" s="51"/>
      <c r="AI37" s="51"/>
      <c r="AJ37" s="51"/>
      <c r="AK37" s="51"/>
      <c r="AL37" s="51"/>
    </row>
    <row r="38" spans="2:38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1">
        <v>6195</v>
      </c>
      <c r="AD38" s="51">
        <v>0</v>
      </c>
      <c r="AE38" s="51"/>
      <c r="AF38" s="51"/>
      <c r="AG38" s="51"/>
      <c r="AH38" s="51"/>
      <c r="AI38" s="51"/>
      <c r="AJ38" s="51"/>
      <c r="AK38" s="51"/>
      <c r="AL38" s="51"/>
    </row>
    <row r="39" spans="2:38" s="25" customFormat="1" ht="12" customHeight="1" outlineLevel="2" x14ac:dyDescent="0.2">
      <c r="B39" s="22"/>
      <c r="C39" s="23"/>
      <c r="D39" s="26" t="s">
        <v>89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1">
        <v>77966219.159999996</v>
      </c>
      <c r="AD39" s="51">
        <v>62350041.695720889</v>
      </c>
      <c r="AE39" s="51">
        <v>155932438.31988233</v>
      </c>
      <c r="AF39" s="51">
        <v>114841924.09</v>
      </c>
      <c r="AG39" s="51">
        <v>155932438.31988233</v>
      </c>
      <c r="AH39" s="51">
        <v>105091109.31000002</v>
      </c>
      <c r="AI39" s="51">
        <v>12994369.859999999</v>
      </c>
      <c r="AJ39" s="51">
        <v>12994369.859941177</v>
      </c>
      <c r="AK39" s="51">
        <v>8509615.5600000005</v>
      </c>
      <c r="AL39" s="51">
        <v>8509615.5600000005</v>
      </c>
    </row>
    <row r="40" spans="2:38" s="25" customFormat="1" ht="12" customHeight="1" outlineLevel="2" x14ac:dyDescent="0.2">
      <c r="B40" s="22"/>
      <c r="C40" s="23"/>
      <c r="D40" s="26" t="s">
        <v>92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1">
        <v>0</v>
      </c>
      <c r="AD40" s="51">
        <v>0</v>
      </c>
      <c r="AE40" s="51">
        <v>98708572.563484177</v>
      </c>
      <c r="AF40" s="51">
        <v>35554912.299999997</v>
      </c>
      <c r="AG40" s="51">
        <v>98708572.566968367</v>
      </c>
      <c r="AH40" s="51">
        <v>21460544.959999997</v>
      </c>
      <c r="AI40" s="51">
        <v>8225714.3799999999</v>
      </c>
      <c r="AJ40" s="51">
        <v>8225714.3834841875</v>
      </c>
      <c r="AK40" s="51">
        <v>1188600.07</v>
      </c>
      <c r="AL40" s="51">
        <v>1188600.07</v>
      </c>
    </row>
    <row r="41" spans="2:38" s="25" customFormat="1" ht="12" customHeight="1" outlineLevel="2" x14ac:dyDescent="0.2">
      <c r="B41" s="22"/>
      <c r="C41" s="23"/>
      <c r="D41" s="26" t="s">
        <v>86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1"/>
      <c r="AD41" s="51"/>
      <c r="AE41" s="51"/>
      <c r="AF41" s="51"/>
      <c r="AG41" s="51"/>
      <c r="AH41" s="51"/>
      <c r="AI41" s="51"/>
      <c r="AJ41" s="51"/>
      <c r="AK41" s="51"/>
      <c r="AL41" s="51"/>
    </row>
    <row r="42" spans="2:38" s="25" customFormat="1" ht="12" customHeight="1" outlineLevel="2" x14ac:dyDescent="0.2">
      <c r="B42" s="22"/>
      <c r="C42" s="23"/>
      <c r="D42" s="26" t="s">
        <v>68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1">
        <v>29741185.299999993</v>
      </c>
      <c r="AD42" s="51">
        <v>4651490.3800000008</v>
      </c>
      <c r="AE42" s="51">
        <v>25206569.649999995</v>
      </c>
      <c r="AF42" s="51">
        <v>5721010.1499999762</v>
      </c>
      <c r="AG42" s="51">
        <v>102410114.48000002</v>
      </c>
      <c r="AH42" s="51">
        <v>185351706.03999996</v>
      </c>
      <c r="AI42" s="51">
        <v>67060933.329999998</v>
      </c>
      <c r="AJ42" s="51">
        <v>67060933.330000006</v>
      </c>
      <c r="AK42" s="51">
        <v>27622755.959999993</v>
      </c>
      <c r="AL42" s="51">
        <v>27622755.960000008</v>
      </c>
    </row>
    <row r="43" spans="2:38" s="25" customFormat="1" ht="12" customHeight="1" outlineLevel="2" x14ac:dyDescent="0.2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2:38" s="25" customFormat="1" ht="12" customHeight="1" outlineLevel="2" x14ac:dyDescent="0.2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2:38" s="25" customFormat="1" ht="12" customHeight="1" outlineLevel="2" x14ac:dyDescent="0.2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2:38" s="25" customFormat="1" ht="12" customHeight="1" outlineLevel="2" x14ac:dyDescent="0.2">
      <c r="B46" s="22"/>
      <c r="C46" s="23"/>
      <c r="D46" s="26" t="s">
        <v>97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50"/>
      <c r="AD46" s="50"/>
      <c r="AE46" s="50">
        <v>0</v>
      </c>
      <c r="AF46" s="51">
        <v>467445241.69</v>
      </c>
      <c r="AG46" s="50">
        <v>661265900.50023806</v>
      </c>
      <c r="AH46" s="51">
        <v>1241607801.22</v>
      </c>
      <c r="AI46" s="51">
        <v>66126590.049999997</v>
      </c>
      <c r="AJ46" s="50">
        <v>66126590.050238095</v>
      </c>
      <c r="AK46" s="50">
        <v>70876834.409999996</v>
      </c>
      <c r="AL46" s="50">
        <v>70876834.409999996</v>
      </c>
    </row>
    <row r="47" spans="2:38" s="25" customFormat="1" ht="12" customHeight="1" outlineLevel="2" x14ac:dyDescent="0.2">
      <c r="B47" s="22"/>
      <c r="C47" s="23"/>
      <c r="D47" s="54" t="s">
        <v>98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50"/>
      <c r="AD47" s="50"/>
      <c r="AE47" s="50"/>
      <c r="AF47" s="51"/>
      <c r="AG47" s="50">
        <v>0</v>
      </c>
      <c r="AH47" s="51">
        <v>0</v>
      </c>
      <c r="AI47" s="51">
        <v>0</v>
      </c>
      <c r="AJ47" s="50">
        <v>0</v>
      </c>
      <c r="AK47" s="50">
        <v>0</v>
      </c>
      <c r="AL47" s="50">
        <v>0</v>
      </c>
    </row>
    <row r="48" spans="2:38" s="25" customFormat="1" ht="12" customHeight="1" outlineLevel="1" x14ac:dyDescent="0.2">
      <c r="B48" s="28"/>
      <c r="C48" s="16"/>
      <c r="D48" s="1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38"/>
      <c r="V48" s="38"/>
      <c r="W48" s="38"/>
      <c r="X48" s="38"/>
      <c r="Y48" s="19"/>
      <c r="Z48" s="19"/>
      <c r="AA48" s="19"/>
      <c r="AB48" s="19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2:38" s="25" customFormat="1" ht="12" customHeight="1" outlineLevel="2" x14ac:dyDescent="0.2">
      <c r="B49" s="22"/>
      <c r="C49" s="23" t="s">
        <v>42</v>
      </c>
      <c r="D49" s="24"/>
      <c r="E49" s="18">
        <f>SUM(E50)</f>
        <v>320055</v>
      </c>
      <c r="F49" s="18">
        <f>SUM(F50:F51)</f>
        <v>76804</v>
      </c>
      <c r="G49" s="18">
        <f>SUM(G50)</f>
        <v>119485</v>
      </c>
      <c r="H49" s="18">
        <f>SUM(H50:H51)</f>
        <v>9367</v>
      </c>
      <c r="I49" s="18">
        <f>SUM(I50)</f>
        <v>725</v>
      </c>
      <c r="J49" s="18">
        <f>SUM(J50:J51)</f>
        <v>15.22</v>
      </c>
      <c r="K49" s="18">
        <f>SUM(K50)</f>
        <v>0</v>
      </c>
      <c r="L49" s="18">
        <f>SUM(L50:L51)</f>
        <v>0</v>
      </c>
      <c r="M49" s="18">
        <f>SUM(M50)</f>
        <v>0</v>
      </c>
      <c r="N49" s="18">
        <f>SUM(N50:N51)</f>
        <v>0</v>
      </c>
      <c r="O49" s="18">
        <f>SUM(O50)</f>
        <v>0</v>
      </c>
      <c r="P49" s="18">
        <f>SUM(P50:P51)</f>
        <v>0</v>
      </c>
      <c r="Q49" s="18">
        <f>SUM(Q50)</f>
        <v>0</v>
      </c>
      <c r="R49" s="18">
        <f t="shared" ref="R49:X49" si="10">SUM(R50:R51)</f>
        <v>17398.486106442288</v>
      </c>
      <c r="S49" s="18">
        <f t="shared" si="10"/>
        <v>32860000</v>
      </c>
      <c r="T49" s="18">
        <f t="shared" si="10"/>
        <v>2601039.9836842106</v>
      </c>
      <c r="U49" s="18">
        <f t="shared" si="10"/>
        <v>0</v>
      </c>
      <c r="V49" s="18">
        <f t="shared" si="10"/>
        <v>0</v>
      </c>
      <c r="W49" s="18">
        <f t="shared" si="10"/>
        <v>0</v>
      </c>
      <c r="X49" s="18">
        <f t="shared" si="10"/>
        <v>0</v>
      </c>
      <c r="Y49" s="19">
        <f t="shared" ref="Y49:AB49" si="11">SUM(Y50:Y51)</f>
        <v>0</v>
      </c>
      <c r="Z49" s="19">
        <f t="shared" si="11"/>
        <v>0</v>
      </c>
      <c r="AA49" s="19">
        <f t="shared" si="11"/>
        <v>0</v>
      </c>
      <c r="AB49" s="19">
        <f t="shared" si="11"/>
        <v>0</v>
      </c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2:38" s="25" customFormat="1" ht="12" customHeight="1" outlineLevel="2" x14ac:dyDescent="0.2">
      <c r="B50" s="22"/>
      <c r="C50" s="23"/>
      <c r="D50" s="26" t="s">
        <v>2</v>
      </c>
      <c r="E50" s="27">
        <v>320055</v>
      </c>
      <c r="F50" s="27">
        <v>76804</v>
      </c>
      <c r="G50" s="27">
        <v>119485</v>
      </c>
      <c r="H50" s="27">
        <v>9367</v>
      </c>
      <c r="I50" s="27">
        <v>725</v>
      </c>
      <c r="J50" s="27">
        <v>15.22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19">
        <v>0</v>
      </c>
      <c r="Z50" s="19">
        <v>0</v>
      </c>
      <c r="AA50" s="19">
        <v>0</v>
      </c>
      <c r="AB50" s="19">
        <v>0</v>
      </c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2:38" s="25" customFormat="1" ht="12" customHeight="1" outlineLevel="2" x14ac:dyDescent="0.2">
      <c r="B51" s="22"/>
      <c r="C51" s="23"/>
      <c r="D51" s="26" t="s">
        <v>63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17398.486106442288</v>
      </c>
      <c r="S51" s="27">
        <v>32860000</v>
      </c>
      <c r="T51" s="27">
        <v>2601039.9836842106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2:38" s="25" customFormat="1" ht="12" customHeight="1" outlineLevel="1" x14ac:dyDescent="0.2">
      <c r="B52" s="28"/>
      <c r="C52" s="16"/>
      <c r="D52" s="17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38"/>
      <c r="Y52" s="19"/>
      <c r="Z52" s="19"/>
      <c r="AA52" s="19"/>
      <c r="AB52" s="19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2:38" s="25" customFormat="1" ht="12" customHeight="1" outlineLevel="2" x14ac:dyDescent="0.2">
      <c r="B53" s="22"/>
      <c r="C53" s="23" t="s">
        <v>43</v>
      </c>
      <c r="D53" s="24"/>
      <c r="E53" s="18">
        <f t="shared" ref="E53:P53" si="12">SUM(E54)</f>
        <v>683828</v>
      </c>
      <c r="F53" s="18">
        <f t="shared" si="12"/>
        <v>19771</v>
      </c>
      <c r="G53" s="18">
        <f t="shared" si="12"/>
        <v>552092</v>
      </c>
      <c r="H53" s="18">
        <f t="shared" si="12"/>
        <v>5243</v>
      </c>
      <c r="I53" s="18">
        <f t="shared" si="12"/>
        <v>200097</v>
      </c>
      <c r="J53" s="18">
        <f t="shared" si="12"/>
        <v>16156.2</v>
      </c>
      <c r="K53" s="18">
        <f t="shared" si="12"/>
        <v>0</v>
      </c>
      <c r="L53" s="18">
        <f t="shared" si="12"/>
        <v>0</v>
      </c>
      <c r="M53" s="18">
        <f t="shared" si="12"/>
        <v>0</v>
      </c>
      <c r="N53" s="18">
        <f t="shared" si="12"/>
        <v>0</v>
      </c>
      <c r="O53" s="18">
        <f t="shared" si="12"/>
        <v>0</v>
      </c>
      <c r="P53" s="18">
        <f t="shared" si="12"/>
        <v>0</v>
      </c>
      <c r="Q53" s="18">
        <f t="shared" ref="Q53:Z53" si="13">SUM(Q54)</f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9">
        <f t="shared" si="13"/>
        <v>0</v>
      </c>
      <c r="Z53" s="19">
        <f t="shared" si="13"/>
        <v>0</v>
      </c>
      <c r="AA53" s="19">
        <f>SUM(AA54)</f>
        <v>0</v>
      </c>
      <c r="AB53" s="19">
        <f>SUM(AB54)</f>
        <v>0</v>
      </c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2:38" s="25" customFormat="1" ht="12" customHeight="1" outlineLevel="1" x14ac:dyDescent="0.2">
      <c r="B54" s="28"/>
      <c r="C54" s="16"/>
      <c r="D54" s="55" t="s">
        <v>44</v>
      </c>
      <c r="E54" s="21">
        <v>683828</v>
      </c>
      <c r="F54" s="21">
        <v>19771</v>
      </c>
      <c r="G54" s="21">
        <v>552092</v>
      </c>
      <c r="H54" s="21">
        <v>5243</v>
      </c>
      <c r="I54" s="21">
        <v>200097</v>
      </c>
      <c r="J54" s="21">
        <v>16156.2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38">
        <v>0</v>
      </c>
      <c r="V54" s="38">
        <v>0</v>
      </c>
      <c r="W54" s="38">
        <v>0</v>
      </c>
      <c r="X54" s="38">
        <v>0</v>
      </c>
      <c r="Y54" s="19">
        <v>0</v>
      </c>
      <c r="Z54" s="19">
        <v>0</v>
      </c>
      <c r="AA54" s="19">
        <v>0</v>
      </c>
      <c r="AB54" s="19">
        <v>0</v>
      </c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2:38" s="25" customFormat="1" ht="12" customHeight="1" outlineLevel="1" x14ac:dyDescent="0.2">
      <c r="B55" s="28"/>
      <c r="C55" s="16"/>
      <c r="D55" s="17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38"/>
      <c r="Y55" s="19"/>
      <c r="Z55" s="19"/>
      <c r="AA55" s="19"/>
      <c r="AB55" s="19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2:38" s="25" customFormat="1" ht="12" customHeight="1" outlineLevel="2" x14ac:dyDescent="0.2">
      <c r="B56" s="22"/>
      <c r="C56" s="23" t="s">
        <v>45</v>
      </c>
      <c r="D56" s="24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39"/>
      <c r="V56" s="39"/>
      <c r="W56" s="39"/>
      <c r="X56" s="39"/>
      <c r="Y56" s="19"/>
      <c r="Z56" s="19"/>
      <c r="AA56" s="19"/>
      <c r="AB56" s="19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2:38" s="25" customFormat="1" ht="12" customHeight="1" x14ac:dyDescent="0.2">
      <c r="B57" s="22"/>
      <c r="C57" s="23"/>
      <c r="D57" s="26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2:38" s="14" customFormat="1" ht="12" customHeight="1" x14ac:dyDescent="0.2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2:38" s="14" customFormat="1" ht="12" customHeight="1" outlineLevel="1" x14ac:dyDescent="0.2">
      <c r="B59" s="15" t="s">
        <v>46</v>
      </c>
      <c r="C59" s="16"/>
      <c r="D59" s="17"/>
      <c r="E59" s="18">
        <f t="shared" ref="E59:P59" si="14">+E61+E92+E104</f>
        <v>118384193</v>
      </c>
      <c r="F59" s="19">
        <f t="shared" si="14"/>
        <v>134365731.18000001</v>
      </c>
      <c r="G59" s="18">
        <f t="shared" si="14"/>
        <v>173677659</v>
      </c>
      <c r="H59" s="19">
        <f t="shared" si="14"/>
        <v>91166275</v>
      </c>
      <c r="I59" s="18">
        <f t="shared" si="14"/>
        <v>202942770.15000001</v>
      </c>
      <c r="J59" s="19">
        <f t="shared" si="14"/>
        <v>101402493.19</v>
      </c>
      <c r="K59" s="18">
        <f t="shared" si="14"/>
        <v>225527046.89053506</v>
      </c>
      <c r="L59" s="19">
        <f t="shared" si="14"/>
        <v>94056067.107459933</v>
      </c>
      <c r="M59" s="18">
        <f t="shared" si="14"/>
        <v>262443915.78548828</v>
      </c>
      <c r="N59" s="19">
        <f t="shared" si="14"/>
        <v>106216071.02666919</v>
      </c>
      <c r="O59" s="18">
        <f t="shared" si="14"/>
        <v>381146621.58684361</v>
      </c>
      <c r="P59" s="19">
        <f t="shared" si="14"/>
        <v>153393683.61339355</v>
      </c>
      <c r="Q59" s="18">
        <f t="shared" ref="Q59:AB59" si="15">+Q61+Q92+Q104+Q115</f>
        <v>366811620.61261851</v>
      </c>
      <c r="R59" s="19">
        <f t="shared" si="15"/>
        <v>453222671.758237</v>
      </c>
      <c r="S59" s="18">
        <f t="shared" si="15"/>
        <v>399569316.75778925</v>
      </c>
      <c r="T59" s="19">
        <f t="shared" si="15"/>
        <v>479592787.39539659</v>
      </c>
      <c r="U59" s="19">
        <f t="shared" si="15"/>
        <v>1629586790.1164184</v>
      </c>
      <c r="V59" s="19">
        <f t="shared" si="15"/>
        <v>648347714.94889045</v>
      </c>
      <c r="W59" s="19">
        <f t="shared" si="15"/>
        <v>728152507.48090005</v>
      </c>
      <c r="X59" s="19">
        <f t="shared" si="15"/>
        <v>795821531.49142945</v>
      </c>
      <c r="Y59" s="19">
        <f t="shared" si="15"/>
        <v>820797849.98000002</v>
      </c>
      <c r="Z59" s="19">
        <f t="shared" si="15"/>
        <v>857620447.29399991</v>
      </c>
      <c r="AA59" s="19">
        <f t="shared" si="15"/>
        <v>1006162317.1299999</v>
      </c>
      <c r="AB59" s="19">
        <f t="shared" si="15"/>
        <v>1795595308.5929406</v>
      </c>
      <c r="AC59" s="50">
        <v>8115976742.001894</v>
      </c>
      <c r="AD59" s="50">
        <v>2592037314.7822881</v>
      </c>
      <c r="AE59" s="50">
        <v>1204900017.2800002</v>
      </c>
      <c r="AF59" s="50">
        <v>5004132173.0587234</v>
      </c>
      <c r="AG59" s="50">
        <v>4452505966.7800007</v>
      </c>
      <c r="AH59" s="50">
        <v>8522330083.5031033</v>
      </c>
      <c r="AI59" s="50">
        <v>739000740.64530003</v>
      </c>
      <c r="AJ59" s="50">
        <v>739000740.64999998</v>
      </c>
      <c r="AK59" s="50">
        <v>1312270512.2744</v>
      </c>
      <c r="AL59" s="50">
        <v>1312270512.27</v>
      </c>
    </row>
    <row r="60" spans="2:38" s="25" customFormat="1" ht="12" customHeight="1" outlineLevel="1" x14ac:dyDescent="0.2">
      <c r="B60" s="28"/>
      <c r="C60" s="16"/>
      <c r="D60" s="17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38"/>
      <c r="Y60" s="19"/>
      <c r="Z60" s="19"/>
      <c r="AA60" s="19"/>
      <c r="AB60" s="19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2:38" s="25" customFormat="1" ht="12" customHeight="1" outlineLevel="2" x14ac:dyDescent="0.2">
      <c r="B61" s="22"/>
      <c r="C61" s="23" t="s">
        <v>47</v>
      </c>
      <c r="D61" s="24"/>
      <c r="E61" s="18">
        <f>SUM(E62:E82)</f>
        <v>117177582</v>
      </c>
      <c r="F61" s="18">
        <f>SUM(F62:F82)</f>
        <v>118199068.42000002</v>
      </c>
      <c r="G61" s="18">
        <f t="shared" ref="G61:L61" si="16">SUM(G62:G80)</f>
        <v>173677659</v>
      </c>
      <c r="H61" s="18">
        <f t="shared" si="16"/>
        <v>80122011</v>
      </c>
      <c r="I61" s="18">
        <f t="shared" si="16"/>
        <v>189408937.81999999</v>
      </c>
      <c r="J61" s="18">
        <f t="shared" si="16"/>
        <v>91556506.849999994</v>
      </c>
      <c r="K61" s="18">
        <f t="shared" si="16"/>
        <v>189273288.42353505</v>
      </c>
      <c r="L61" s="18">
        <f t="shared" si="16"/>
        <v>86801042.04068993</v>
      </c>
      <c r="M61" s="18">
        <f>SUM(M62:M82)</f>
        <v>214537959.23948827</v>
      </c>
      <c r="N61" s="18">
        <f>SUM(N62:N82)</f>
        <v>93616141.288039193</v>
      </c>
      <c r="O61" s="18">
        <f t="shared" ref="O61:V61" si="17">SUM(O62:O86)</f>
        <v>229622464.46084359</v>
      </c>
      <c r="P61" s="18">
        <f t="shared" si="17"/>
        <v>82715614.444843546</v>
      </c>
      <c r="Q61" s="18">
        <f t="shared" si="17"/>
        <v>237693591.27524999</v>
      </c>
      <c r="R61" s="18">
        <f t="shared" si="17"/>
        <v>81131765.899000019</v>
      </c>
      <c r="S61" s="18">
        <f t="shared" si="17"/>
        <v>264542454.51999998</v>
      </c>
      <c r="T61" s="18">
        <f t="shared" si="17"/>
        <v>83674997.389999986</v>
      </c>
      <c r="U61" s="18">
        <f t="shared" si="17"/>
        <v>368888198.97999996</v>
      </c>
      <c r="V61" s="18">
        <f t="shared" si="17"/>
        <v>91812253.169999987</v>
      </c>
      <c r="W61" s="18">
        <f t="shared" ref="W61:Z61" si="18">SUM(W62:W86)</f>
        <v>557436294.87</v>
      </c>
      <c r="X61" s="18">
        <f t="shared" si="18"/>
        <v>126223598.67</v>
      </c>
      <c r="Y61" s="19">
        <f t="shared" si="18"/>
        <v>625975400.07000005</v>
      </c>
      <c r="Z61" s="19">
        <f t="shared" si="18"/>
        <v>130202566.05000001</v>
      </c>
      <c r="AA61" s="19">
        <f>SUM(AA62:AA86)</f>
        <v>687484940.4799999</v>
      </c>
      <c r="AB61" s="19">
        <f>SUM(AB62:AB86)</f>
        <v>200213885.80999997</v>
      </c>
      <c r="AC61" s="50">
        <v>787940432.31000006</v>
      </c>
      <c r="AD61" s="50">
        <v>275273821.37</v>
      </c>
      <c r="AE61" s="50">
        <v>1141894519.8900001</v>
      </c>
      <c r="AF61" s="50">
        <v>851263227.88</v>
      </c>
      <c r="AG61" s="50">
        <v>2636182326.3500004</v>
      </c>
      <c r="AH61" s="50">
        <v>1636818959.96</v>
      </c>
      <c r="AI61" s="50">
        <v>165368686.65529999</v>
      </c>
      <c r="AJ61" s="50">
        <v>165368686.66</v>
      </c>
      <c r="AK61" s="50">
        <v>62533651.994399995</v>
      </c>
      <c r="AL61" s="50">
        <v>62533651.989999995</v>
      </c>
    </row>
    <row r="62" spans="2:38" s="25" customFormat="1" ht="12" customHeight="1" outlineLevel="2" x14ac:dyDescent="0.2">
      <c r="B62" s="22"/>
      <c r="C62" s="23"/>
      <c r="D62" s="26" t="s">
        <v>6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1">
        <v>0</v>
      </c>
      <c r="Z62" s="21">
        <v>0</v>
      </c>
      <c r="AA62" s="21">
        <v>0</v>
      </c>
      <c r="AB62" s="21">
        <v>0</v>
      </c>
      <c r="AC62" s="51"/>
      <c r="AD62" s="51"/>
      <c r="AE62" s="51"/>
      <c r="AF62" s="51"/>
      <c r="AG62" s="51"/>
      <c r="AH62" s="51"/>
      <c r="AI62" s="51"/>
      <c r="AJ62" s="51"/>
      <c r="AK62" s="51"/>
      <c r="AL62" s="51"/>
    </row>
    <row r="63" spans="2:38" s="25" customFormat="1" ht="12" customHeight="1" outlineLevel="2" x14ac:dyDescent="0.2">
      <c r="B63" s="22"/>
      <c r="C63" s="23"/>
      <c r="D63" s="26" t="s">
        <v>15</v>
      </c>
      <c r="E63" s="27">
        <v>9043891</v>
      </c>
      <c r="F63" s="27">
        <v>7920527</v>
      </c>
      <c r="G63" s="27">
        <v>9016342</v>
      </c>
      <c r="H63" s="27">
        <v>1951496</v>
      </c>
      <c r="I63" s="27">
        <v>9170201</v>
      </c>
      <c r="J63" s="27">
        <v>1496521</v>
      </c>
      <c r="K63" s="27">
        <v>10477893.4166</v>
      </c>
      <c r="L63" s="27">
        <v>1412903.2179</v>
      </c>
      <c r="M63" s="27">
        <v>12223093.59365</v>
      </c>
      <c r="N63" s="27">
        <v>1185861.62843</v>
      </c>
      <c r="O63" s="27">
        <v>12821572.199999999</v>
      </c>
      <c r="P63" s="27">
        <v>795884.04980000004</v>
      </c>
      <c r="Q63" s="27">
        <v>6683185.2052499996</v>
      </c>
      <c r="R63" s="27">
        <v>161289.68900000001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1">
        <v>0</v>
      </c>
      <c r="Z63" s="21">
        <v>0</v>
      </c>
      <c r="AA63" s="21">
        <v>0</v>
      </c>
      <c r="AB63" s="21">
        <v>0</v>
      </c>
      <c r="AC63" s="51"/>
      <c r="AD63" s="51"/>
      <c r="AE63" s="51"/>
      <c r="AF63" s="51"/>
      <c r="AG63" s="51"/>
      <c r="AH63" s="51"/>
      <c r="AI63" s="51"/>
      <c r="AJ63" s="51"/>
      <c r="AK63" s="51"/>
      <c r="AL63" s="51"/>
    </row>
    <row r="64" spans="2:38" s="25" customFormat="1" ht="12" customHeight="1" outlineLevel="2" x14ac:dyDescent="0.2">
      <c r="B64" s="22"/>
      <c r="C64" s="23"/>
      <c r="D64" s="26" t="s">
        <v>14</v>
      </c>
      <c r="E64" s="27">
        <v>0</v>
      </c>
      <c r="F64" s="27">
        <f>11227601+128803.46</f>
        <v>11356404.460000001</v>
      </c>
      <c r="G64" s="27">
        <v>10891913</v>
      </c>
      <c r="H64" s="27">
        <f>3372094+130627</f>
        <v>3502721</v>
      </c>
      <c r="I64" s="27">
        <v>11096124</v>
      </c>
      <c r="J64" s="27">
        <f>2568648+138799.06</f>
        <v>2707447.06</v>
      </c>
      <c r="K64" s="27">
        <v>11068777.572251117</v>
      </c>
      <c r="L64" s="27">
        <v>2158096.6792411795</v>
      </c>
      <c r="M64" s="27">
        <v>13031352.795838274</v>
      </c>
      <c r="N64" s="27">
        <v>1666498.4042092194</v>
      </c>
      <c r="O64" s="27">
        <v>17391791.734543562</v>
      </c>
      <c r="P64" s="27">
        <v>1300213.5488635267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1">
        <v>0</v>
      </c>
      <c r="Z64" s="21">
        <v>0</v>
      </c>
      <c r="AA64" s="21">
        <v>0</v>
      </c>
      <c r="AB64" s="21">
        <v>0</v>
      </c>
      <c r="AC64" s="51"/>
      <c r="AD64" s="51"/>
      <c r="AE64" s="51"/>
      <c r="AF64" s="51"/>
      <c r="AG64" s="51"/>
      <c r="AH64" s="51"/>
      <c r="AI64" s="51"/>
      <c r="AJ64" s="51"/>
      <c r="AK64" s="51"/>
      <c r="AL64" s="51"/>
    </row>
    <row r="65" spans="2:38" s="25" customFormat="1" ht="12" customHeight="1" outlineLevel="2" x14ac:dyDescent="0.2">
      <c r="B65" s="22"/>
      <c r="C65" s="23"/>
      <c r="D65" s="26" t="s">
        <v>48</v>
      </c>
      <c r="E65" s="27">
        <v>0</v>
      </c>
      <c r="F65" s="27">
        <f>451859+278050.6</f>
        <v>729909.6</v>
      </c>
      <c r="G65" s="27">
        <v>0</v>
      </c>
      <c r="H65" s="27">
        <f>2504+1104585</f>
        <v>1107089</v>
      </c>
      <c r="I65" s="27">
        <v>0</v>
      </c>
      <c r="J65" s="27">
        <f>2759+2118443.97</f>
        <v>2121202.9700000002</v>
      </c>
      <c r="K65" s="27">
        <v>6791170.7699999996</v>
      </c>
      <c r="L65" s="27">
        <v>3409016.9441383267</v>
      </c>
      <c r="M65" s="27">
        <v>6864876.8900000006</v>
      </c>
      <c r="N65" s="27">
        <v>4308121.74</v>
      </c>
      <c r="O65" s="27">
        <v>7127009.8100000005</v>
      </c>
      <c r="P65" s="27">
        <v>3578752.32</v>
      </c>
      <c r="Q65" s="27">
        <v>7524835.6699999999</v>
      </c>
      <c r="R65" s="27">
        <v>3795603.64</v>
      </c>
      <c r="S65" s="27">
        <v>8289940.3899999997</v>
      </c>
      <c r="T65" s="27">
        <v>3706698.8</v>
      </c>
      <c r="U65" s="27">
        <v>9740139.129999999</v>
      </c>
      <c r="V65" s="27">
        <v>3652982.05</v>
      </c>
      <c r="W65" s="27">
        <v>14867051.859999999</v>
      </c>
      <c r="X65" s="27">
        <v>5044816.05</v>
      </c>
      <c r="Y65" s="21">
        <v>16496930.73</v>
      </c>
      <c r="Z65" s="21">
        <v>4703853.59</v>
      </c>
      <c r="AA65" s="21">
        <v>27228564.469999999</v>
      </c>
      <c r="AB65" s="21">
        <v>6713957.5</v>
      </c>
      <c r="AC65" s="51">
        <v>29903939.850000001</v>
      </c>
      <c r="AD65" s="51">
        <v>5354361.3</v>
      </c>
      <c r="AE65" s="51">
        <v>52594410.240000002</v>
      </c>
      <c r="AF65" s="51">
        <v>6186634.9000000004</v>
      </c>
      <c r="AG65" s="51">
        <v>88616102.670000002</v>
      </c>
      <c r="AH65" s="51">
        <v>5784310.3300000001</v>
      </c>
      <c r="AI65" s="51">
        <v>0</v>
      </c>
      <c r="AJ65" s="51">
        <v>0</v>
      </c>
      <c r="AK65" s="51">
        <v>0</v>
      </c>
      <c r="AL65" s="51">
        <v>0</v>
      </c>
    </row>
    <row r="66" spans="2:38" s="25" customFormat="1" ht="12" customHeight="1" outlineLevel="2" x14ac:dyDescent="0.2">
      <c r="B66" s="22"/>
      <c r="C66" s="23"/>
      <c r="D66" s="26" t="s">
        <v>49</v>
      </c>
      <c r="E66" s="27">
        <v>0</v>
      </c>
      <c r="F66" s="27">
        <f>16255475.49+12100276</f>
        <v>28355751.490000002</v>
      </c>
      <c r="G66" s="27">
        <v>36379973</v>
      </c>
      <c r="H66" s="27">
        <f>4207457+23859752</f>
        <v>28067209</v>
      </c>
      <c r="I66" s="27">
        <v>41889434</v>
      </c>
      <c r="J66" s="27">
        <f>3013305+31147759.15</f>
        <v>34161064.149999999</v>
      </c>
      <c r="K66" s="27">
        <v>41695171.539999999</v>
      </c>
      <c r="L66" s="27">
        <v>32322063.07</v>
      </c>
      <c r="M66" s="27">
        <v>49151366.090000004</v>
      </c>
      <c r="N66" s="27">
        <v>31152750.249999996</v>
      </c>
      <c r="O66" s="27">
        <v>52270808.570000008</v>
      </c>
      <c r="P66" s="27">
        <v>33782826.18</v>
      </c>
      <c r="Q66" s="27">
        <v>54897876.450000003</v>
      </c>
      <c r="R66" s="27">
        <v>32171890.259999998</v>
      </c>
      <c r="S66" s="27">
        <v>59977473.979999997</v>
      </c>
      <c r="T66" s="27">
        <v>30916452.649999999</v>
      </c>
      <c r="U66" s="27">
        <v>70530963.140000001</v>
      </c>
      <c r="V66" s="27">
        <v>32989229.469999999</v>
      </c>
      <c r="W66" s="27">
        <v>108665806.53</v>
      </c>
      <c r="X66" s="27">
        <v>45745171.850000001</v>
      </c>
      <c r="Y66" s="21">
        <v>120121312.94</v>
      </c>
      <c r="Z66" s="21">
        <v>44060668.520000003</v>
      </c>
      <c r="AA66" s="21">
        <v>195011926.12</v>
      </c>
      <c r="AB66" s="21">
        <v>64690409.049999997</v>
      </c>
      <c r="AC66" s="51">
        <v>224165908.20999998</v>
      </c>
      <c r="AD66" s="51">
        <v>58932197.18</v>
      </c>
      <c r="AE66" s="51">
        <v>318196905.97000003</v>
      </c>
      <c r="AF66" s="51">
        <v>63808830.590000004</v>
      </c>
      <c r="AG66" s="51">
        <v>567032895.32999992</v>
      </c>
      <c r="AH66" s="51">
        <v>83539593.449999988</v>
      </c>
      <c r="AI66" s="51">
        <v>0</v>
      </c>
      <c r="AJ66" s="51">
        <v>0</v>
      </c>
      <c r="AK66" s="51">
        <v>0</v>
      </c>
      <c r="AL66" s="51">
        <v>0</v>
      </c>
    </row>
    <row r="67" spans="2:38" s="25" customFormat="1" ht="12" customHeight="1" outlineLevel="2" x14ac:dyDescent="0.2">
      <c r="B67" s="22"/>
      <c r="C67" s="23"/>
      <c r="D67" s="26" t="s">
        <v>70</v>
      </c>
      <c r="E67" s="27">
        <v>0</v>
      </c>
      <c r="F67" s="27">
        <f>200447.39</f>
        <v>200447.39</v>
      </c>
      <c r="G67" s="27">
        <v>0</v>
      </c>
      <c r="H67" s="27">
        <v>0</v>
      </c>
      <c r="I67" s="27">
        <v>529653.93999999994</v>
      </c>
      <c r="J67" s="27">
        <v>775907.62</v>
      </c>
      <c r="K67" s="27">
        <v>1125367.96</v>
      </c>
      <c r="L67" s="27">
        <v>984560.64679999999</v>
      </c>
      <c r="M67" s="27">
        <v>1328715.21</v>
      </c>
      <c r="N67" s="27">
        <v>973917.15</v>
      </c>
      <c r="O67" s="27">
        <v>1385538.49</v>
      </c>
      <c r="P67" s="27">
        <v>1047219.33</v>
      </c>
      <c r="Q67" s="27">
        <v>1464806.58</v>
      </c>
      <c r="R67" s="27">
        <v>1012846.85</v>
      </c>
      <c r="S67" s="27">
        <v>1603604.39</v>
      </c>
      <c r="T67" s="27">
        <v>1017226.35</v>
      </c>
      <c r="U67" s="27">
        <v>968932.61</v>
      </c>
      <c r="V67" s="27">
        <v>483268.35</v>
      </c>
      <c r="W67" s="27">
        <v>1482350</v>
      </c>
      <c r="X67" s="27">
        <v>675153.79</v>
      </c>
      <c r="Y67" s="21"/>
      <c r="Z67" s="21"/>
      <c r="AA67" s="21"/>
      <c r="AB67" s="21"/>
      <c r="AC67" s="51"/>
      <c r="AD67" s="51"/>
      <c r="AE67" s="51"/>
      <c r="AF67" s="51"/>
      <c r="AG67" s="51"/>
      <c r="AH67" s="51"/>
      <c r="AI67" s="51"/>
      <c r="AJ67" s="51"/>
      <c r="AK67" s="51"/>
      <c r="AL67" s="51"/>
    </row>
    <row r="68" spans="2:38" s="25" customFormat="1" ht="12" customHeight="1" outlineLevel="2" x14ac:dyDescent="0.2">
      <c r="B68" s="22"/>
      <c r="C68" s="23"/>
      <c r="D68" s="26" t="s">
        <v>106</v>
      </c>
      <c r="E68" s="27">
        <v>0</v>
      </c>
      <c r="F68" s="27">
        <v>0</v>
      </c>
      <c r="G68" s="27">
        <v>0</v>
      </c>
      <c r="H68" s="27">
        <v>436861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963977.84</v>
      </c>
      <c r="V68" s="27">
        <v>593240.55000000005</v>
      </c>
      <c r="W68" s="27">
        <v>1424597.79</v>
      </c>
      <c r="X68" s="27">
        <v>854607.3</v>
      </c>
      <c r="Y68" s="21">
        <v>3224273.19</v>
      </c>
      <c r="Z68" s="21">
        <v>1524412.88</v>
      </c>
      <c r="AA68" s="21">
        <v>5273571.07</v>
      </c>
      <c r="AB68" s="21">
        <v>2326745.19</v>
      </c>
      <c r="AC68" s="51">
        <v>5819146.0800000001</v>
      </c>
      <c r="AD68" s="51">
        <v>2170056.8299999996</v>
      </c>
      <c r="AE68" s="51">
        <v>9450858.6000000015</v>
      </c>
      <c r="AF68" s="51">
        <v>2842216.76</v>
      </c>
      <c r="AG68" s="51">
        <v>17534791.960000001</v>
      </c>
      <c r="AH68" s="51">
        <v>4252219</v>
      </c>
      <c r="AI68" s="51">
        <v>0</v>
      </c>
      <c r="AJ68" s="51">
        <v>0</v>
      </c>
      <c r="AK68" s="51">
        <v>0</v>
      </c>
      <c r="AL68" s="51">
        <v>0</v>
      </c>
    </row>
    <row r="69" spans="2:38" s="25" customFormat="1" ht="12" customHeight="1" outlineLevel="2" x14ac:dyDescent="0.2">
      <c r="B69" s="22"/>
      <c r="C69" s="23"/>
      <c r="D69" s="26" t="s">
        <v>71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2313951.2999999998</v>
      </c>
      <c r="K69" s="27">
        <v>0</v>
      </c>
      <c r="L69" s="27">
        <v>12898744.640000001</v>
      </c>
      <c r="M69" s="27">
        <v>0</v>
      </c>
      <c r="N69" s="27">
        <v>24244374.810000002</v>
      </c>
      <c r="O69" s="27">
        <v>0</v>
      </c>
      <c r="P69" s="27">
        <v>30320268.960000001</v>
      </c>
      <c r="Q69" s="27">
        <v>35414069</v>
      </c>
      <c r="R69" s="27">
        <v>33043079.780000001</v>
      </c>
      <c r="S69" s="27">
        <v>39495214.799999997</v>
      </c>
      <c r="T69" s="27">
        <v>34042969.239999995</v>
      </c>
      <c r="U69" s="27">
        <v>47881189.849999994</v>
      </c>
      <c r="V69" s="27">
        <v>40042500.900000006</v>
      </c>
      <c r="W69" s="27">
        <v>70772044.909999996</v>
      </c>
      <c r="X69" s="27">
        <v>56402839.150000006</v>
      </c>
      <c r="Y69" s="21">
        <v>79436193.180000007</v>
      </c>
      <c r="Z69" s="21">
        <v>59901361.439999998</v>
      </c>
      <c r="AA69" s="21">
        <v>124968108.97999999</v>
      </c>
      <c r="AB69" s="21">
        <v>98565001.270000011</v>
      </c>
      <c r="AC69" s="51">
        <v>141561093.81</v>
      </c>
      <c r="AD69" s="51">
        <v>100155615.88</v>
      </c>
      <c r="AE69" s="51">
        <v>249773351.59</v>
      </c>
      <c r="AF69" s="51">
        <v>171105627.84999999</v>
      </c>
      <c r="AG69" s="51">
        <v>448480539.75</v>
      </c>
      <c r="AH69" s="51">
        <v>290729315.35000002</v>
      </c>
      <c r="AI69" s="51">
        <v>0</v>
      </c>
      <c r="AJ69" s="51">
        <v>0</v>
      </c>
      <c r="AK69" s="51">
        <v>0</v>
      </c>
      <c r="AL69" s="51">
        <v>0</v>
      </c>
    </row>
    <row r="70" spans="2:38" s="25" customFormat="1" ht="12" customHeight="1" outlineLevel="2" x14ac:dyDescent="0.2">
      <c r="B70" s="22"/>
      <c r="C70" s="23"/>
      <c r="D70" s="26" t="s">
        <v>50</v>
      </c>
      <c r="E70" s="27">
        <v>0</v>
      </c>
      <c r="F70" s="27">
        <v>0</v>
      </c>
      <c r="G70" s="27">
        <v>869</v>
      </c>
      <c r="H70" s="27">
        <v>29939</v>
      </c>
      <c r="I70" s="27">
        <v>573486.49</v>
      </c>
      <c r="J70" s="27">
        <v>141500.65</v>
      </c>
      <c r="K70" s="27">
        <v>1137244.52</v>
      </c>
      <c r="L70" s="27">
        <v>310489.44</v>
      </c>
      <c r="M70" s="27">
        <v>2041335.52</v>
      </c>
      <c r="N70" s="27">
        <v>332992.28000000003</v>
      </c>
      <c r="O70" s="27">
        <v>1455967.43</v>
      </c>
      <c r="P70" s="27">
        <v>104300.43</v>
      </c>
      <c r="Q70" s="27">
        <v>1535832.17</v>
      </c>
      <c r="R70" s="27">
        <v>58946.58</v>
      </c>
      <c r="S70" s="27">
        <v>825146.36</v>
      </c>
      <c r="T70" s="27">
        <v>12631.29</v>
      </c>
      <c r="U70" s="27">
        <v>0</v>
      </c>
      <c r="V70" s="27">
        <v>0</v>
      </c>
      <c r="W70" s="27">
        <v>0</v>
      </c>
      <c r="X70" s="27">
        <v>750057.09</v>
      </c>
      <c r="Y70" s="21">
        <v>7374004.2599999998</v>
      </c>
      <c r="Z70" s="21">
        <v>671027.07999999996</v>
      </c>
      <c r="AA70" s="21">
        <v>11774599.58</v>
      </c>
      <c r="AB70" s="21">
        <v>1014795.54</v>
      </c>
      <c r="AC70" s="51">
        <v>20685669.789999999</v>
      </c>
      <c r="AD70" s="51">
        <v>1097997.19</v>
      </c>
      <c r="AE70" s="51">
        <v>27494876.210000001</v>
      </c>
      <c r="AF70" s="51">
        <v>487250.15</v>
      </c>
      <c r="AG70" s="51"/>
      <c r="AH70" s="51"/>
      <c r="AI70" s="51"/>
      <c r="AJ70" s="51"/>
      <c r="AK70" s="51"/>
      <c r="AL70" s="51"/>
    </row>
    <row r="71" spans="2:38" s="25" customFormat="1" ht="12" customHeight="1" outlineLevel="2" x14ac:dyDescent="0.2">
      <c r="B71" s="22"/>
      <c r="C71" s="23"/>
      <c r="D71" s="26" t="s">
        <v>51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329197.89</v>
      </c>
      <c r="P71" s="27">
        <v>66946.84</v>
      </c>
      <c r="Q71" s="27">
        <v>2300144.37</v>
      </c>
      <c r="R71" s="27">
        <v>332231.15000000002</v>
      </c>
      <c r="S71" s="27">
        <v>1874196.61</v>
      </c>
      <c r="T71" s="27">
        <v>280402.21000000002</v>
      </c>
      <c r="U71" s="27">
        <v>6648549.0899999999</v>
      </c>
      <c r="V71" s="27">
        <v>949981.24</v>
      </c>
      <c r="W71" s="27">
        <v>6674770.3499999996</v>
      </c>
      <c r="X71" s="27">
        <v>0</v>
      </c>
      <c r="Y71" s="21"/>
      <c r="Z71" s="21"/>
      <c r="AA71" s="21"/>
      <c r="AB71" s="21"/>
      <c r="AC71" s="51"/>
      <c r="AD71" s="51"/>
      <c r="AE71" s="51"/>
      <c r="AF71" s="51"/>
      <c r="AG71" s="51"/>
      <c r="AH71" s="51"/>
      <c r="AI71" s="51"/>
      <c r="AJ71" s="51"/>
      <c r="AK71" s="51"/>
      <c r="AL71" s="51"/>
    </row>
    <row r="72" spans="2:38" s="25" customFormat="1" ht="12" customHeight="1" outlineLevel="2" x14ac:dyDescent="0.2">
      <c r="B72" s="22"/>
      <c r="C72" s="23"/>
      <c r="D72" s="26" t="s">
        <v>52</v>
      </c>
      <c r="E72" s="27">
        <v>16952258</v>
      </c>
      <c r="F72" s="27">
        <v>7580334</v>
      </c>
      <c r="G72" s="27">
        <v>7119591</v>
      </c>
      <c r="H72" s="27">
        <v>651538</v>
      </c>
      <c r="I72" s="27">
        <v>7915301</v>
      </c>
      <c r="J72" s="27">
        <v>376419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1">
        <v>0</v>
      </c>
      <c r="Z72" s="21">
        <v>0</v>
      </c>
      <c r="AA72" s="21">
        <v>0</v>
      </c>
      <c r="AB72" s="21">
        <v>0</v>
      </c>
      <c r="AC72" s="51"/>
      <c r="AD72" s="51"/>
      <c r="AE72" s="51"/>
      <c r="AF72" s="51"/>
      <c r="AG72" s="51"/>
      <c r="AH72" s="51"/>
      <c r="AI72" s="51"/>
      <c r="AJ72" s="51"/>
      <c r="AK72" s="51"/>
      <c r="AL72" s="51"/>
    </row>
    <row r="73" spans="2:38" s="25" customFormat="1" ht="12" customHeight="1" outlineLevel="2" x14ac:dyDescent="0.2">
      <c r="B73" s="22"/>
      <c r="C73" s="23"/>
      <c r="D73" s="26" t="s">
        <v>13</v>
      </c>
      <c r="E73" s="27">
        <v>35634474</v>
      </c>
      <c r="F73" s="27">
        <f>17969.19+11972889</f>
        <v>11990858.189999999</v>
      </c>
      <c r="G73" s="27">
        <v>5067227</v>
      </c>
      <c r="H73" s="27">
        <f>1053484+13266</f>
        <v>1066750</v>
      </c>
      <c r="I73" s="27">
        <v>15403202</v>
      </c>
      <c r="J73" s="27">
        <f>2968596+48796.53</f>
        <v>3017392.53</v>
      </c>
      <c r="K73" s="27">
        <v>10618533.84577113</v>
      </c>
      <c r="L73" s="27">
        <v>1052044.8835927499</v>
      </c>
      <c r="M73" s="27">
        <v>6158155.5599999996</v>
      </c>
      <c r="N73" s="27">
        <v>325808.87</v>
      </c>
      <c r="O73" s="27">
        <v>11999193.7863</v>
      </c>
      <c r="P73" s="27">
        <v>173955.98618000001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1">
        <v>0</v>
      </c>
      <c r="Z73" s="21">
        <v>0</v>
      </c>
      <c r="AA73" s="21">
        <v>0</v>
      </c>
      <c r="AB73" s="21">
        <v>0</v>
      </c>
      <c r="AC73" s="51"/>
      <c r="AD73" s="51"/>
      <c r="AE73" s="51"/>
      <c r="AF73" s="51"/>
      <c r="AG73" s="51"/>
      <c r="AH73" s="51"/>
      <c r="AI73" s="51"/>
      <c r="AJ73" s="51"/>
      <c r="AK73" s="51"/>
      <c r="AL73" s="51"/>
    </row>
    <row r="74" spans="2:38" s="25" customFormat="1" ht="12" customHeight="1" outlineLevel="2" x14ac:dyDescent="0.2">
      <c r="B74" s="22"/>
      <c r="C74" s="23"/>
      <c r="D74" s="26" t="s">
        <v>53</v>
      </c>
      <c r="E74" s="27">
        <v>9910455</v>
      </c>
      <c r="F74" s="27">
        <f>1442062+245992.48</f>
        <v>1688054.48</v>
      </c>
      <c r="G74" s="27">
        <v>8495017</v>
      </c>
      <c r="H74" s="27">
        <f>504777+1415953</f>
        <v>1920730</v>
      </c>
      <c r="I74" s="27">
        <f>355785+5841984.84</f>
        <v>6197769.8399999999</v>
      </c>
      <c r="J74" s="27">
        <f>10256+1209590.46</f>
        <v>1219846.46</v>
      </c>
      <c r="K74" s="27">
        <v>6955353.2300000004</v>
      </c>
      <c r="L74" s="27">
        <v>721048.16</v>
      </c>
      <c r="M74" s="27">
        <v>8095979.6600000001</v>
      </c>
      <c r="N74" s="27">
        <v>396207.01</v>
      </c>
      <c r="O74" s="27">
        <v>3595619.15</v>
      </c>
      <c r="P74" s="27">
        <v>19186.91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1">
        <v>0</v>
      </c>
      <c r="Z74" s="21">
        <v>0</v>
      </c>
      <c r="AA74" s="21">
        <v>0</v>
      </c>
      <c r="AB74" s="21">
        <v>0</v>
      </c>
      <c r="AC74" s="51"/>
      <c r="AD74" s="51"/>
      <c r="AE74" s="51"/>
      <c r="AF74" s="51"/>
      <c r="AG74" s="51"/>
      <c r="AH74" s="51"/>
      <c r="AI74" s="51"/>
      <c r="AJ74" s="51"/>
      <c r="AK74" s="51"/>
      <c r="AL74" s="51"/>
    </row>
    <row r="75" spans="2:38" s="25" customFormat="1" ht="12" customHeight="1" outlineLevel="2" x14ac:dyDescent="0.2">
      <c r="B75" s="22"/>
      <c r="C75" s="23"/>
      <c r="D75" s="26" t="s">
        <v>54</v>
      </c>
      <c r="E75" s="27">
        <v>32434824</v>
      </c>
      <c r="F75" s="27">
        <f>4720303+2484170.05</f>
        <v>7204473.0499999998</v>
      </c>
      <c r="G75" s="27">
        <f>2165941+20795834</f>
        <v>22961775</v>
      </c>
      <c r="H75" s="27">
        <f>42300+5984123</f>
        <v>6026423</v>
      </c>
      <c r="I75" s="27">
        <v>21429351.379999999</v>
      </c>
      <c r="J75" s="27">
        <v>5703995.5599999996</v>
      </c>
      <c r="K75" s="27">
        <v>21275118.050000001</v>
      </c>
      <c r="L75" s="27">
        <v>3500388.41</v>
      </c>
      <c r="M75" s="27">
        <v>25346199.09</v>
      </c>
      <c r="N75" s="27">
        <v>1872984.21</v>
      </c>
      <c r="O75" s="27">
        <v>26418460.629999999</v>
      </c>
      <c r="P75" s="27">
        <v>328100.86</v>
      </c>
      <c r="Q75" s="27">
        <v>27902459.289999999</v>
      </c>
      <c r="R75" s="27">
        <v>148677.10999999999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1">
        <v>0</v>
      </c>
      <c r="Z75" s="21">
        <v>0</v>
      </c>
      <c r="AA75" s="21">
        <v>0</v>
      </c>
      <c r="AB75" s="21">
        <v>0</v>
      </c>
      <c r="AC75" s="51"/>
      <c r="AD75" s="51"/>
      <c r="AE75" s="51"/>
      <c r="AF75" s="51"/>
      <c r="AG75" s="51"/>
      <c r="AH75" s="51"/>
      <c r="AI75" s="51"/>
      <c r="AJ75" s="51"/>
      <c r="AK75" s="51"/>
      <c r="AL75" s="51"/>
    </row>
    <row r="76" spans="2:38" s="25" customFormat="1" ht="12" customHeight="1" outlineLevel="2" x14ac:dyDescent="0.2">
      <c r="B76" s="22"/>
      <c r="C76" s="23"/>
      <c r="D76" s="26" t="s">
        <v>55</v>
      </c>
      <c r="E76" s="27">
        <v>5351485</v>
      </c>
      <c r="F76" s="27">
        <f>719731+616696.76</f>
        <v>1336427.76</v>
      </c>
      <c r="G76" s="27">
        <f>3381643+445164</f>
        <v>3826807</v>
      </c>
      <c r="H76" s="27">
        <f>104214+1126180</f>
        <v>1230394</v>
      </c>
      <c r="I76" s="27">
        <v>3882982.17</v>
      </c>
      <c r="J76" s="27">
        <v>1308415.99</v>
      </c>
      <c r="K76" s="27">
        <v>3858639.4045525203</v>
      </c>
      <c r="L76" s="27">
        <v>864328.35535597475</v>
      </c>
      <c r="M76" s="27">
        <v>4639254.09</v>
      </c>
      <c r="N76" s="27">
        <v>487199.05</v>
      </c>
      <c r="O76" s="27">
        <v>4869176</v>
      </c>
      <c r="P76" s="27">
        <v>120289.25</v>
      </c>
      <c r="Q76" s="27">
        <v>5123214.54</v>
      </c>
      <c r="R76" s="27">
        <v>84923.35</v>
      </c>
      <c r="S76" s="27">
        <v>5593841.1999999993</v>
      </c>
      <c r="T76" s="27">
        <v>54696.160000000003</v>
      </c>
      <c r="U76" s="27">
        <v>3138967.57</v>
      </c>
      <c r="V76" s="27">
        <v>14365.19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1"/>
      <c r="AD76" s="51"/>
      <c r="AE76" s="51"/>
      <c r="AF76" s="51"/>
      <c r="AG76" s="51"/>
      <c r="AH76" s="51"/>
      <c r="AI76" s="51"/>
      <c r="AJ76" s="51"/>
      <c r="AK76" s="51"/>
      <c r="AL76" s="51"/>
    </row>
    <row r="77" spans="2:38" s="25" customFormat="1" ht="12" customHeight="1" outlineLevel="2" x14ac:dyDescent="0.2">
      <c r="B77" s="22"/>
      <c r="C77" s="23"/>
      <c r="D77" s="26" t="s">
        <v>56</v>
      </c>
      <c r="E77" s="27">
        <v>0</v>
      </c>
      <c r="F77" s="27">
        <f>551901+36535409</f>
        <v>37087310</v>
      </c>
      <c r="G77" s="27">
        <v>69918145</v>
      </c>
      <c r="H77" s="27">
        <f>33846548+284313</f>
        <v>34130861</v>
      </c>
      <c r="I77" s="27">
        <v>71321432</v>
      </c>
      <c r="J77" s="27">
        <v>34900846</v>
      </c>
      <c r="K77" s="27">
        <v>74270018.114360303</v>
      </c>
      <c r="L77" s="27">
        <v>24149389.393661715</v>
      </c>
      <c r="M77" s="27">
        <v>85657630.74000001</v>
      </c>
      <c r="N77" s="27">
        <v>18791896.685399998</v>
      </c>
      <c r="O77" s="27">
        <v>89243290.299999997</v>
      </c>
      <c r="P77" s="27">
        <v>3775320.8</v>
      </c>
      <c r="Q77" s="27">
        <v>94847168</v>
      </c>
      <c r="R77" s="27">
        <v>3286909.39</v>
      </c>
      <c r="S77" s="27">
        <v>104127716.84</v>
      </c>
      <c r="T77" s="27">
        <v>3698097.48</v>
      </c>
      <c r="U77" s="27">
        <v>125452046.86</v>
      </c>
      <c r="V77" s="27">
        <v>2702361.93</v>
      </c>
      <c r="W77" s="27">
        <v>187947889.96000001</v>
      </c>
      <c r="X77" s="27">
        <v>1999314.25</v>
      </c>
      <c r="Y77" s="21">
        <v>209444141.31</v>
      </c>
      <c r="Z77" s="21">
        <v>1025660.99</v>
      </c>
      <c r="AA77" s="21"/>
      <c r="AB77" s="21"/>
      <c r="AC77" s="51"/>
      <c r="AD77" s="51"/>
      <c r="AE77" s="51"/>
      <c r="AF77" s="51"/>
      <c r="AG77" s="51"/>
      <c r="AH77" s="51"/>
      <c r="AI77" s="51"/>
      <c r="AJ77" s="51"/>
      <c r="AK77" s="51"/>
      <c r="AL77" s="51"/>
    </row>
    <row r="78" spans="2:38" s="25" customFormat="1" ht="12" customHeight="1" outlineLevel="2" x14ac:dyDescent="0.2">
      <c r="B78" s="22"/>
      <c r="C78" s="23"/>
      <c r="D78" s="26" t="s">
        <v>72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418053.97</v>
      </c>
      <c r="K78" s="27">
        <v>0</v>
      </c>
      <c r="L78" s="27">
        <v>1207538.06</v>
      </c>
      <c r="M78" s="27">
        <v>0</v>
      </c>
      <c r="N78" s="27">
        <v>4160681.69</v>
      </c>
      <c r="O78" s="27">
        <v>0</v>
      </c>
      <c r="P78" s="27">
        <v>5060771.7300000004</v>
      </c>
      <c r="Q78" s="27">
        <v>0</v>
      </c>
      <c r="R78" s="27">
        <v>4867415.4000000004</v>
      </c>
      <c r="S78" s="27">
        <v>19232401.329999998</v>
      </c>
      <c r="T78" s="27">
        <v>5425656.8799999999</v>
      </c>
      <c r="U78" s="27">
        <v>47226877.490000002</v>
      </c>
      <c r="V78" s="27">
        <v>6093764.6699999999</v>
      </c>
      <c r="W78" s="27">
        <v>74972950.909999996</v>
      </c>
      <c r="X78" s="27">
        <v>7501119.25</v>
      </c>
      <c r="Y78" s="21">
        <v>84908958.049999997</v>
      </c>
      <c r="Z78" s="21">
        <v>6496112.7199999997</v>
      </c>
      <c r="AA78" s="21">
        <v>143578350.94</v>
      </c>
      <c r="AB78" s="21">
        <v>7423345.3699999992</v>
      </c>
      <c r="AC78" s="51">
        <v>159765034.94</v>
      </c>
      <c r="AD78" s="51">
        <v>4642699.8800000008</v>
      </c>
      <c r="AE78" s="51">
        <v>101619576.98</v>
      </c>
      <c r="AF78" s="51">
        <v>1090918.3399999999</v>
      </c>
      <c r="AG78" s="51"/>
      <c r="AH78" s="51"/>
      <c r="AI78" s="51"/>
      <c r="AJ78" s="51"/>
      <c r="AK78" s="51"/>
      <c r="AL78" s="51"/>
    </row>
    <row r="79" spans="2:38" s="25" customFormat="1" ht="12" customHeight="1" outlineLevel="2" x14ac:dyDescent="0.2">
      <c r="B79" s="22"/>
      <c r="C79" s="23"/>
      <c r="D79" s="26" t="s">
        <v>57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46526.879999999997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/>
      <c r="Y79" s="21"/>
      <c r="Z79" s="21"/>
      <c r="AA79" s="21"/>
      <c r="AB79" s="2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2:38" s="25" customFormat="1" ht="12" customHeight="1" outlineLevel="2" x14ac:dyDescent="0.2">
      <c r="B80" s="22"/>
      <c r="C80" s="23"/>
      <c r="D80" s="26" t="s">
        <v>73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893942.59</v>
      </c>
      <c r="K80" s="27">
        <v>0</v>
      </c>
      <c r="L80" s="27">
        <v>1810430.14</v>
      </c>
      <c r="M80" s="27">
        <v>0</v>
      </c>
      <c r="N80" s="27">
        <v>3606758.11</v>
      </c>
      <c r="O80" s="27">
        <v>0</v>
      </c>
      <c r="P80" s="27">
        <v>2141997.38</v>
      </c>
      <c r="Q80" s="27">
        <v>0</v>
      </c>
      <c r="R80" s="27">
        <v>2058742.82</v>
      </c>
      <c r="S80" s="27">
        <v>23077848.100000001</v>
      </c>
      <c r="T80" s="27">
        <v>3242280.96</v>
      </c>
      <c r="U80" s="27">
        <v>55614606.269999996</v>
      </c>
      <c r="V80" s="27">
        <v>2754402.12</v>
      </c>
      <c r="W80" s="27">
        <v>83140704.99000001</v>
      </c>
      <c r="X80" s="27">
        <v>2854675.61</v>
      </c>
      <c r="Y80" s="21">
        <v>93347527.010000005</v>
      </c>
      <c r="Z80" s="21">
        <v>2777957.04</v>
      </c>
      <c r="AA80" s="21">
        <v>147875385.94999999</v>
      </c>
      <c r="AB80" s="21">
        <v>5626766.5700000003</v>
      </c>
      <c r="AC80" s="51">
        <v>167650876.22</v>
      </c>
      <c r="AD80" s="51">
        <v>7420047.6999999993</v>
      </c>
      <c r="AE80" s="51">
        <v>310707614.33999997</v>
      </c>
      <c r="AF80" s="51">
        <v>12571839.550000001</v>
      </c>
      <c r="AG80" s="51">
        <v>523696674.51999998</v>
      </c>
      <c r="AH80" s="51">
        <v>11375772.48</v>
      </c>
      <c r="AI80" s="51"/>
      <c r="AJ80" s="51"/>
      <c r="AK80" s="51"/>
      <c r="AL80" s="51"/>
    </row>
    <row r="81" spans="2:38" s="14" customFormat="1" ht="12" customHeight="1" outlineLevel="1" x14ac:dyDescent="0.2">
      <c r="B81" s="22"/>
      <c r="C81" s="23"/>
      <c r="D81" s="26" t="s">
        <v>74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63562.52</v>
      </c>
      <c r="O81" s="27">
        <v>0</v>
      </c>
      <c r="P81" s="27">
        <v>99579.87</v>
      </c>
      <c r="Q81" s="27">
        <v>0</v>
      </c>
      <c r="R81" s="27">
        <v>49976.09</v>
      </c>
      <c r="S81" s="27">
        <v>0</v>
      </c>
      <c r="T81" s="27">
        <v>111822.35</v>
      </c>
      <c r="U81" s="27">
        <v>485061.61</v>
      </c>
      <c r="V81" s="27">
        <v>191794.71</v>
      </c>
      <c r="W81" s="27">
        <v>487310.22</v>
      </c>
      <c r="X81" s="27">
        <v>168043.84</v>
      </c>
      <c r="Y81" s="21">
        <v>538420.52</v>
      </c>
      <c r="Z81" s="21">
        <v>164359.35999999999</v>
      </c>
      <c r="AA81" s="21">
        <v>859637.48</v>
      </c>
      <c r="AB81" s="21">
        <v>229036.91</v>
      </c>
      <c r="AC81" s="51">
        <v>999415.92999999993</v>
      </c>
      <c r="AD81" s="51">
        <v>226194.78</v>
      </c>
      <c r="AE81" s="51">
        <v>1398392.25</v>
      </c>
      <c r="AF81" s="51">
        <v>258959.02</v>
      </c>
      <c r="AG81" s="51">
        <v>2406924.17</v>
      </c>
      <c r="AH81" s="51">
        <v>354547.39</v>
      </c>
      <c r="AI81" s="51">
        <v>1817575.6752999998</v>
      </c>
      <c r="AJ81" s="51">
        <v>1817575.68</v>
      </c>
      <c r="AK81" s="51">
        <v>216755.20440000002</v>
      </c>
      <c r="AL81" s="51">
        <v>216755.20000000001</v>
      </c>
    </row>
    <row r="82" spans="2:38" s="14" customFormat="1" ht="12" customHeight="1" outlineLevel="1" x14ac:dyDescent="0.2">
      <c r="B82" s="28"/>
      <c r="C82" s="16"/>
      <c r="D82" s="26" t="s">
        <v>58</v>
      </c>
      <c r="E82" s="27">
        <v>7850195</v>
      </c>
      <c r="F82" s="27">
        <v>2748571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1"/>
      <c r="Z82" s="21"/>
      <c r="AA82" s="21"/>
      <c r="AB82" s="2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2:38" s="14" customFormat="1" ht="12" customHeight="1" outlineLevel="1" x14ac:dyDescent="0.2">
      <c r="B83" s="28"/>
      <c r="C83" s="16"/>
      <c r="D83" s="26" t="s">
        <v>59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714838.47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1"/>
      <c r="Z83" s="21"/>
      <c r="AA83" s="21"/>
      <c r="AB83" s="2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2:38" s="14" customFormat="1" ht="12" customHeight="1" outlineLevel="1" x14ac:dyDescent="0.2">
      <c r="B84" s="28"/>
      <c r="C84" s="16"/>
      <c r="D84" s="26" t="s">
        <v>75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59233.79</v>
      </c>
      <c r="S84" s="27">
        <v>0</v>
      </c>
      <c r="T84" s="27">
        <v>1156196.43</v>
      </c>
      <c r="U84" s="27">
        <v>0</v>
      </c>
      <c r="V84" s="27">
        <v>1331720.82</v>
      </c>
      <c r="W84" s="27">
        <v>6528269.5</v>
      </c>
      <c r="X84" s="27">
        <v>4194468.08</v>
      </c>
      <c r="Y84" s="21">
        <v>10560719.23</v>
      </c>
      <c r="Z84" s="21">
        <v>7994246.8100000005</v>
      </c>
      <c r="AA84" s="21">
        <v>21149392.640000001</v>
      </c>
      <c r="AB84" s="21">
        <v>10233303.699999999</v>
      </c>
      <c r="AC84" s="51">
        <v>26770876.66</v>
      </c>
      <c r="AD84" s="51">
        <v>13998818.99</v>
      </c>
      <c r="AE84" s="51">
        <v>48940799.459999993</v>
      </c>
      <c r="AF84" s="51">
        <v>28567423.270000003</v>
      </c>
      <c r="AG84" s="51">
        <v>81809471.890000001</v>
      </c>
      <c r="AH84" s="51">
        <v>51362960.439999998</v>
      </c>
      <c r="AI84" s="51">
        <v>0</v>
      </c>
      <c r="AJ84" s="51">
        <v>0</v>
      </c>
      <c r="AK84" s="51">
        <v>0</v>
      </c>
      <c r="AL84" s="51">
        <v>0</v>
      </c>
    </row>
    <row r="85" spans="2:38" s="14" customFormat="1" ht="12" customHeight="1" outlineLevel="1" x14ac:dyDescent="0.2">
      <c r="B85" s="28"/>
      <c r="C85" s="16"/>
      <c r="D85" s="26" t="s">
        <v>85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1"/>
      <c r="Z85" s="21">
        <v>831545.11</v>
      </c>
      <c r="AA85" s="21">
        <v>8927281.620000001</v>
      </c>
      <c r="AB85" s="21">
        <v>3305737.38</v>
      </c>
      <c r="AC85" s="51">
        <v>9680257.9900000002</v>
      </c>
      <c r="AD85" s="51">
        <v>5046780.92</v>
      </c>
      <c r="AE85" s="51">
        <v>20101204.5</v>
      </c>
      <c r="AF85" s="51">
        <v>12617582.390000001</v>
      </c>
      <c r="AG85" s="51">
        <v>33238569.109999999</v>
      </c>
      <c r="AH85" s="51">
        <v>23635888.619999997</v>
      </c>
      <c r="AI85" s="51">
        <v>0</v>
      </c>
      <c r="AJ85" s="51">
        <v>0</v>
      </c>
      <c r="AK85" s="51">
        <v>0</v>
      </c>
      <c r="AL85" s="51">
        <v>0</v>
      </c>
    </row>
    <row r="86" spans="2:38" s="14" customFormat="1" ht="12" customHeight="1" outlineLevel="1" x14ac:dyDescent="0.2">
      <c r="B86" s="28"/>
      <c r="C86" s="16"/>
      <c r="D86" s="26" t="s">
        <v>64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445070.52</v>
      </c>
      <c r="T86" s="27">
        <v>9866.59</v>
      </c>
      <c r="U86" s="27">
        <v>236887.52</v>
      </c>
      <c r="V86" s="27">
        <v>12641.17</v>
      </c>
      <c r="W86" s="27">
        <v>472547.85</v>
      </c>
      <c r="X86" s="27">
        <v>33332.410000000003</v>
      </c>
      <c r="Y86" s="21">
        <v>522919.65</v>
      </c>
      <c r="Z86" s="21">
        <v>51360.51</v>
      </c>
      <c r="AA86" s="21">
        <v>838121.63</v>
      </c>
      <c r="AB86" s="21">
        <v>84787.33</v>
      </c>
      <c r="AC86" s="51">
        <v>938212.83000000007</v>
      </c>
      <c r="AD86" s="51">
        <v>99061.51999999999</v>
      </c>
      <c r="AE86" s="51">
        <v>1616529.75</v>
      </c>
      <c r="AF86" s="51">
        <v>232698.27</v>
      </c>
      <c r="AG86" s="51">
        <v>3013256.95</v>
      </c>
      <c r="AH86" s="51">
        <v>347673.2</v>
      </c>
      <c r="AI86" s="51">
        <v>0</v>
      </c>
      <c r="AJ86" s="51">
        <v>0</v>
      </c>
      <c r="AK86" s="51">
        <v>0</v>
      </c>
      <c r="AL86" s="51">
        <v>0</v>
      </c>
    </row>
    <row r="87" spans="2:38" s="14" customFormat="1" ht="12" customHeight="1" outlineLevel="1" x14ac:dyDescent="0.2">
      <c r="B87" s="28"/>
      <c r="C87" s="16"/>
      <c r="D87" s="26" t="s">
        <v>88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1"/>
      <c r="Z87" s="21"/>
      <c r="AA87" s="21"/>
      <c r="AB87" s="21"/>
      <c r="AC87" s="51">
        <v>0</v>
      </c>
      <c r="AD87" s="51">
        <v>9529137.4800000004</v>
      </c>
      <c r="AE87" s="51">
        <v>0</v>
      </c>
      <c r="AF87" s="51">
        <v>33820041.299999997</v>
      </c>
      <c r="AG87" s="51">
        <v>0</v>
      </c>
      <c r="AH87" s="51">
        <v>88454962.939999998</v>
      </c>
      <c r="AI87" s="51">
        <v>163551110.97999999</v>
      </c>
      <c r="AJ87" s="51">
        <v>163551110.97999999</v>
      </c>
      <c r="AK87" s="51">
        <v>60062248.759999998</v>
      </c>
      <c r="AL87" s="51">
        <v>60062248.759999998</v>
      </c>
    </row>
    <row r="88" spans="2:38" s="14" customFormat="1" ht="12" customHeight="1" outlineLevel="1" x14ac:dyDescent="0.2">
      <c r="B88" s="28"/>
      <c r="C88" s="16"/>
      <c r="D88" s="26" t="s">
        <v>94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1"/>
      <c r="Z88" s="21"/>
      <c r="AA88" s="21"/>
      <c r="AB88" s="21"/>
      <c r="AC88" s="51">
        <v>0</v>
      </c>
      <c r="AD88" s="51">
        <v>66600851.720000006</v>
      </c>
      <c r="AE88" s="51">
        <v>0</v>
      </c>
      <c r="AF88" s="51">
        <v>283895051.10000002</v>
      </c>
      <c r="AG88" s="51">
        <v>870353100</v>
      </c>
      <c r="AH88" s="51">
        <v>540797604.25</v>
      </c>
      <c r="AI88" s="51">
        <v>0</v>
      </c>
      <c r="AJ88" s="51">
        <v>0</v>
      </c>
      <c r="AK88" s="51">
        <v>563899.98</v>
      </c>
      <c r="AL88" s="51">
        <v>563899.98</v>
      </c>
    </row>
    <row r="89" spans="2:38" s="14" customFormat="1" ht="12" customHeight="1" outlineLevel="1" x14ac:dyDescent="0.2">
      <c r="B89" s="28"/>
      <c r="C89" s="16"/>
      <c r="D89" s="26" t="s">
        <v>96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1"/>
      <c r="Z89" s="21"/>
      <c r="AA89" s="21"/>
      <c r="AB89" s="21"/>
      <c r="AC89" s="51"/>
      <c r="AD89" s="51"/>
      <c r="AE89" s="51">
        <v>0</v>
      </c>
      <c r="AF89" s="51">
        <v>233778154.39000002</v>
      </c>
      <c r="AG89" s="51">
        <v>0</v>
      </c>
      <c r="AH89" s="51">
        <v>536184112.50999999</v>
      </c>
      <c r="AI89" s="51">
        <v>0</v>
      </c>
      <c r="AJ89" s="51">
        <v>0</v>
      </c>
      <c r="AK89" s="51">
        <v>463667.72</v>
      </c>
      <c r="AL89" s="51">
        <v>463667.72</v>
      </c>
    </row>
    <row r="90" spans="2:38" s="14" customFormat="1" ht="12" customHeight="1" outlineLevel="1" x14ac:dyDescent="0.2">
      <c r="B90" s="28"/>
      <c r="C90" s="16"/>
      <c r="D90" s="26" t="s">
        <v>107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1"/>
      <c r="Z90" s="21"/>
      <c r="AA90" s="21"/>
      <c r="AB90" s="21"/>
      <c r="AC90" s="51"/>
      <c r="AD90" s="51"/>
      <c r="AE90" s="51"/>
      <c r="AF90" s="51"/>
      <c r="AG90" s="51">
        <v>0</v>
      </c>
      <c r="AH90" s="51">
        <v>0</v>
      </c>
      <c r="AI90" s="51">
        <v>0</v>
      </c>
      <c r="AJ90" s="51">
        <v>0</v>
      </c>
      <c r="AK90" s="51">
        <v>1227080.33</v>
      </c>
      <c r="AL90" s="51">
        <v>1227080.33</v>
      </c>
    </row>
    <row r="91" spans="2:38" s="25" customFormat="1" ht="12" customHeight="1" outlineLevel="1" x14ac:dyDescent="0.2">
      <c r="B91" s="28"/>
      <c r="C91" s="16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38"/>
      <c r="V91" s="38"/>
      <c r="W91" s="38"/>
      <c r="X91" s="38"/>
      <c r="Y91" s="19"/>
      <c r="Z91" s="19"/>
      <c r="AA91" s="19"/>
      <c r="AB91" s="19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2:38" s="25" customFormat="1" ht="12" customHeight="1" outlineLevel="2" x14ac:dyDescent="0.2">
      <c r="B92" s="22"/>
      <c r="C92" s="23" t="s">
        <v>109</v>
      </c>
      <c r="D92" s="24"/>
      <c r="E92" s="18">
        <f t="shared" ref="E92:P92" si="19">SUM(E93:E98)</f>
        <v>1206611</v>
      </c>
      <c r="F92" s="18">
        <f t="shared" si="19"/>
        <v>16166662.76</v>
      </c>
      <c r="G92" s="18">
        <f t="shared" si="19"/>
        <v>0</v>
      </c>
      <c r="H92" s="18">
        <f t="shared" si="19"/>
        <v>11044264</v>
      </c>
      <c r="I92" s="18">
        <f t="shared" si="19"/>
        <v>13533832.33</v>
      </c>
      <c r="J92" s="18">
        <f t="shared" si="19"/>
        <v>9845986.3399999999</v>
      </c>
      <c r="K92" s="18">
        <f t="shared" si="19"/>
        <v>36253758.467</v>
      </c>
      <c r="L92" s="18">
        <f t="shared" si="19"/>
        <v>7255025.0667700004</v>
      </c>
      <c r="M92" s="18">
        <f t="shared" si="19"/>
        <v>41933144.046000004</v>
      </c>
      <c r="N92" s="18">
        <f t="shared" si="19"/>
        <v>4943562.7686299998</v>
      </c>
      <c r="O92" s="18">
        <f t="shared" si="19"/>
        <v>43115014.361000001</v>
      </c>
      <c r="P92" s="18">
        <f t="shared" si="19"/>
        <v>3855487.7249799999</v>
      </c>
      <c r="Q92" s="18">
        <f t="shared" ref="Q92:V92" si="20">SUM(Q93:Q98)</f>
        <v>46163003.741999999</v>
      </c>
      <c r="R92" s="18">
        <f t="shared" si="20"/>
        <v>3089204.4892120617</v>
      </c>
      <c r="S92" s="18">
        <f t="shared" si="20"/>
        <v>42743278.640000001</v>
      </c>
      <c r="T92" s="18">
        <f t="shared" si="20"/>
        <v>1895381.22</v>
      </c>
      <c r="U92" s="18">
        <f t="shared" si="20"/>
        <v>14041460.060000001</v>
      </c>
      <c r="V92" s="18">
        <f t="shared" si="20"/>
        <v>332571</v>
      </c>
      <c r="W92" s="18">
        <f t="shared" ref="W92:Z92" si="21">SUM(W93:W98)</f>
        <v>0</v>
      </c>
      <c r="X92" s="18">
        <f t="shared" si="21"/>
        <v>0</v>
      </c>
      <c r="Y92" s="19">
        <f t="shared" si="21"/>
        <v>0</v>
      </c>
      <c r="Z92" s="19">
        <f t="shared" si="21"/>
        <v>0</v>
      </c>
      <c r="AA92" s="19">
        <f>SUM(AA93:AA98)</f>
        <v>0</v>
      </c>
      <c r="AB92" s="19">
        <f>SUM(AB93:AB98)</f>
        <v>0</v>
      </c>
      <c r="AC92" s="50"/>
      <c r="AD92" s="50"/>
      <c r="AE92" s="50">
        <v>0</v>
      </c>
      <c r="AF92" s="50">
        <v>32318933.670000002</v>
      </c>
      <c r="AG92" s="50">
        <v>0</v>
      </c>
      <c r="AH92" s="50">
        <v>146611371.89999998</v>
      </c>
      <c r="AI92" s="50">
        <v>0</v>
      </c>
      <c r="AJ92" s="50">
        <v>0</v>
      </c>
      <c r="AK92" s="50">
        <v>0</v>
      </c>
      <c r="AL92" s="50">
        <v>0</v>
      </c>
    </row>
    <row r="93" spans="2:38" s="25" customFormat="1" ht="12" customHeight="1" outlineLevel="2" x14ac:dyDescent="0.2">
      <c r="B93" s="22"/>
      <c r="C93" s="23"/>
      <c r="D93" s="26" t="s">
        <v>8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1">
        <v>0</v>
      </c>
      <c r="Z93" s="21">
        <v>0</v>
      </c>
      <c r="AA93" s="21">
        <v>0</v>
      </c>
      <c r="AB93" s="21">
        <v>0</v>
      </c>
      <c r="AC93" s="51"/>
      <c r="AD93" s="51"/>
      <c r="AE93" s="51"/>
      <c r="AF93" s="51"/>
      <c r="AG93" s="51"/>
      <c r="AH93" s="51"/>
      <c r="AI93" s="51"/>
      <c r="AJ93" s="51"/>
      <c r="AK93" s="51"/>
      <c r="AL93" s="51"/>
    </row>
    <row r="94" spans="2:38" s="25" customFormat="1" ht="12" customHeight="1" outlineLevel="2" x14ac:dyDescent="0.2">
      <c r="B94" s="22"/>
      <c r="C94" s="23"/>
      <c r="D94" s="26" t="s">
        <v>9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1">
        <v>0</v>
      </c>
      <c r="Z94" s="21">
        <v>0</v>
      </c>
      <c r="AA94" s="21">
        <v>0</v>
      </c>
      <c r="AB94" s="21">
        <v>0</v>
      </c>
      <c r="AC94" s="51"/>
      <c r="AD94" s="51"/>
      <c r="AE94" s="51"/>
      <c r="AF94" s="51"/>
      <c r="AG94" s="51"/>
      <c r="AH94" s="51"/>
      <c r="AI94" s="51"/>
      <c r="AJ94" s="51"/>
      <c r="AK94" s="51"/>
      <c r="AL94" s="51"/>
    </row>
    <row r="95" spans="2:38" s="25" customFormat="1" ht="12" customHeight="1" outlineLevel="2" x14ac:dyDescent="0.2">
      <c r="B95" s="22"/>
      <c r="C95" s="23"/>
      <c r="D95" s="26" t="s">
        <v>10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1">
        <v>0</v>
      </c>
      <c r="Z95" s="21">
        <v>0</v>
      </c>
      <c r="AA95" s="21">
        <v>0</v>
      </c>
      <c r="AB95" s="21">
        <v>0</v>
      </c>
      <c r="AC95" s="51"/>
      <c r="AD95" s="51"/>
      <c r="AE95" s="51"/>
      <c r="AF95" s="51"/>
      <c r="AG95" s="51"/>
      <c r="AH95" s="51"/>
      <c r="AI95" s="51"/>
      <c r="AJ95" s="51"/>
      <c r="AK95" s="51"/>
      <c r="AL95" s="51"/>
    </row>
    <row r="96" spans="2:38" s="25" customFormat="1" ht="12" customHeight="1" outlineLevel="2" x14ac:dyDescent="0.2">
      <c r="B96" s="22"/>
      <c r="C96" s="23"/>
      <c r="D96" s="26" t="s">
        <v>11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/>
      <c r="X96" s="27"/>
      <c r="Y96" s="21"/>
      <c r="Z96" s="21"/>
      <c r="AA96" s="21"/>
      <c r="AB96" s="21"/>
      <c r="AC96" s="51"/>
      <c r="AD96" s="51"/>
      <c r="AE96" s="51"/>
      <c r="AF96" s="51"/>
      <c r="AG96" s="51"/>
      <c r="AH96" s="51"/>
      <c r="AI96" s="51"/>
      <c r="AJ96" s="51"/>
      <c r="AK96" s="51"/>
      <c r="AL96" s="51"/>
    </row>
    <row r="97" spans="2:38" s="25" customFormat="1" ht="12" customHeight="1" outlineLevel="2" x14ac:dyDescent="0.2">
      <c r="B97" s="22"/>
      <c r="C97" s="23"/>
      <c r="D97" s="26" t="s">
        <v>16</v>
      </c>
      <c r="E97" s="27">
        <v>0</v>
      </c>
      <c r="F97" s="27">
        <v>4147610.76</v>
      </c>
      <c r="G97" s="27">
        <v>0</v>
      </c>
      <c r="H97" s="27">
        <v>4597080</v>
      </c>
      <c r="I97" s="27">
        <v>9355983.3300000001</v>
      </c>
      <c r="J97" s="27">
        <v>5124688.34</v>
      </c>
      <c r="K97" s="27">
        <v>19413142.469999999</v>
      </c>
      <c r="L97" s="27">
        <v>4868416.92</v>
      </c>
      <c r="M97" s="27">
        <v>22069728.990000002</v>
      </c>
      <c r="N97" s="27">
        <v>4451082.5599999996</v>
      </c>
      <c r="O97" s="27">
        <v>22343965.73</v>
      </c>
      <c r="P97" s="27">
        <v>3443023.33</v>
      </c>
      <c r="Q97" s="27">
        <v>24188393.07</v>
      </c>
      <c r="R97" s="27">
        <v>2581127.44</v>
      </c>
      <c r="S97" s="27">
        <v>24866249.719999999</v>
      </c>
      <c r="T97" s="27">
        <v>1472108.67</v>
      </c>
      <c r="U97" s="27">
        <v>14041460.060000001</v>
      </c>
      <c r="V97" s="27">
        <v>332571</v>
      </c>
      <c r="W97" s="27">
        <v>0</v>
      </c>
      <c r="X97" s="27"/>
      <c r="Y97" s="21">
        <v>0</v>
      </c>
      <c r="Z97" s="21"/>
      <c r="AA97" s="21">
        <v>0</v>
      </c>
      <c r="AB97" s="21"/>
      <c r="AC97" s="51"/>
      <c r="AD97" s="51"/>
      <c r="AE97" s="51"/>
      <c r="AF97" s="51"/>
      <c r="AG97" s="51"/>
      <c r="AH97" s="51"/>
      <c r="AI97" s="51"/>
      <c r="AJ97" s="51"/>
      <c r="AK97" s="51"/>
      <c r="AL97" s="51"/>
    </row>
    <row r="98" spans="2:38" s="25" customFormat="1" ht="12" customHeight="1" outlineLevel="2" x14ac:dyDescent="0.2">
      <c r="B98" s="22"/>
      <c r="C98" s="23"/>
      <c r="D98" s="26" t="s">
        <v>12</v>
      </c>
      <c r="E98" s="27">
        <v>1206611</v>
      </c>
      <c r="F98" s="27">
        <f>4490435+7528617</f>
        <v>12019052</v>
      </c>
      <c r="G98" s="27">
        <v>0</v>
      </c>
      <c r="H98" s="27">
        <f>6247298+199886</f>
        <v>6447184</v>
      </c>
      <c r="I98" s="27">
        <v>4177849</v>
      </c>
      <c r="J98" s="27">
        <f>4502509+218789</f>
        <v>4721298</v>
      </c>
      <c r="K98" s="27">
        <v>16840615.997000001</v>
      </c>
      <c r="L98" s="27">
        <v>2386608.14677</v>
      </c>
      <c r="M98" s="27">
        <v>19863415.055999998</v>
      </c>
      <c r="N98" s="27">
        <v>492480.20863000007</v>
      </c>
      <c r="O98" s="27">
        <v>20771048.630999997</v>
      </c>
      <c r="P98" s="27">
        <v>412464.39498000004</v>
      </c>
      <c r="Q98" s="27">
        <v>21974610.671999998</v>
      </c>
      <c r="R98" s="27">
        <v>508077.04921206168</v>
      </c>
      <c r="S98" s="27">
        <v>17877028.920000002</v>
      </c>
      <c r="T98" s="27">
        <v>423272.55</v>
      </c>
      <c r="U98" s="27">
        <v>0</v>
      </c>
      <c r="V98" s="27">
        <v>0</v>
      </c>
      <c r="W98" s="27">
        <v>0</v>
      </c>
      <c r="X98" s="27">
        <v>0</v>
      </c>
      <c r="Y98" s="21">
        <v>0</v>
      </c>
      <c r="Z98" s="21">
        <v>0</v>
      </c>
      <c r="AA98" s="21">
        <v>0</v>
      </c>
      <c r="AB98" s="21">
        <v>0</v>
      </c>
      <c r="AC98" s="51"/>
      <c r="AD98" s="51"/>
      <c r="AE98" s="51"/>
      <c r="AF98" s="51"/>
      <c r="AG98" s="51"/>
      <c r="AH98" s="51"/>
      <c r="AI98" s="51"/>
      <c r="AJ98" s="51"/>
      <c r="AK98" s="51"/>
      <c r="AL98" s="51"/>
    </row>
    <row r="99" spans="2:38" s="25" customFormat="1" ht="12" customHeight="1" outlineLevel="2" x14ac:dyDescent="0.2">
      <c r="B99" s="22"/>
      <c r="C99" s="23"/>
      <c r="D99" s="54" t="s">
        <v>101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1"/>
      <c r="Z99" s="21"/>
      <c r="AA99" s="21"/>
      <c r="AB99" s="21"/>
      <c r="AC99" s="51"/>
      <c r="AD99" s="51"/>
      <c r="AE99" s="51">
        <v>0</v>
      </c>
      <c r="AF99" s="51">
        <v>32318933.670000002</v>
      </c>
      <c r="AG99" s="51">
        <v>0</v>
      </c>
      <c r="AH99" s="51">
        <v>7990197.1899999995</v>
      </c>
      <c r="AI99" s="51">
        <v>0</v>
      </c>
      <c r="AJ99" s="51">
        <v>0</v>
      </c>
      <c r="AK99" s="51">
        <v>0</v>
      </c>
      <c r="AL99" s="51">
        <v>0</v>
      </c>
    </row>
    <row r="100" spans="2:38" s="25" customFormat="1" ht="12" customHeight="1" outlineLevel="2" x14ac:dyDescent="0.2">
      <c r="B100" s="22"/>
      <c r="C100" s="23"/>
      <c r="D100" s="54" t="s">
        <v>99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1"/>
      <c r="Z100" s="21"/>
      <c r="AA100" s="21"/>
      <c r="AB100" s="21"/>
      <c r="AC100" s="51"/>
      <c r="AD100" s="51"/>
      <c r="AE100" s="51"/>
      <c r="AF100" s="51"/>
      <c r="AG100" s="51">
        <v>0</v>
      </c>
      <c r="AH100" s="51">
        <v>117249759.11</v>
      </c>
      <c r="AI100" s="51">
        <v>0</v>
      </c>
      <c r="AJ100" s="51">
        <v>0</v>
      </c>
      <c r="AK100" s="51">
        <v>0</v>
      </c>
      <c r="AL100" s="51">
        <v>0</v>
      </c>
    </row>
    <row r="101" spans="2:38" s="25" customFormat="1" ht="12" customHeight="1" outlineLevel="2" x14ac:dyDescent="0.2">
      <c r="B101" s="22"/>
      <c r="C101" s="23"/>
      <c r="D101" s="54" t="s">
        <v>100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1"/>
      <c r="Z101" s="21"/>
      <c r="AA101" s="21"/>
      <c r="AB101" s="21"/>
      <c r="AC101" s="51"/>
      <c r="AD101" s="51"/>
      <c r="AE101" s="51"/>
      <c r="AF101" s="51"/>
      <c r="AG101" s="51">
        <v>0</v>
      </c>
      <c r="AH101" s="51">
        <v>21170030.120000001</v>
      </c>
      <c r="AI101" s="51">
        <v>0</v>
      </c>
      <c r="AJ101" s="51">
        <v>0</v>
      </c>
      <c r="AK101" s="51">
        <v>0</v>
      </c>
      <c r="AL101" s="51">
        <v>0</v>
      </c>
    </row>
    <row r="102" spans="2:38" s="25" customFormat="1" ht="12" customHeight="1" outlineLevel="2" x14ac:dyDescent="0.2">
      <c r="B102" s="22"/>
      <c r="C102" s="23"/>
      <c r="D102" s="54" t="s">
        <v>108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1"/>
      <c r="Z102" s="21"/>
      <c r="AA102" s="21"/>
      <c r="AB102" s="21"/>
      <c r="AC102" s="51"/>
      <c r="AD102" s="51"/>
      <c r="AE102" s="51"/>
      <c r="AF102" s="51"/>
      <c r="AG102" s="51">
        <v>0</v>
      </c>
      <c r="AH102" s="51">
        <v>201385.48</v>
      </c>
      <c r="AI102" s="51">
        <v>0</v>
      </c>
      <c r="AJ102" s="51">
        <v>0</v>
      </c>
      <c r="AK102" s="51">
        <v>0</v>
      </c>
      <c r="AL102" s="51">
        <v>0</v>
      </c>
    </row>
    <row r="103" spans="2:38" s="25" customFormat="1" ht="12" customHeight="1" outlineLevel="1" x14ac:dyDescent="0.2">
      <c r="B103" s="28"/>
      <c r="C103" s="16"/>
      <c r="D103" s="17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38"/>
      <c r="V103" s="38"/>
      <c r="W103" s="38"/>
      <c r="X103" s="38"/>
      <c r="Y103" s="19"/>
      <c r="Z103" s="19"/>
      <c r="AA103" s="19"/>
      <c r="AB103" s="19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</row>
    <row r="104" spans="2:38" s="25" customFormat="1" ht="12" customHeight="1" outlineLevel="2" x14ac:dyDescent="0.2">
      <c r="B104" s="22"/>
      <c r="C104" s="23" t="s">
        <v>60</v>
      </c>
      <c r="D104" s="24"/>
      <c r="E104" s="18">
        <f t="shared" ref="E104:L104" si="22">+SUM(E105:E106)</f>
        <v>0</v>
      </c>
      <c r="F104" s="18">
        <f t="shared" si="22"/>
        <v>0</v>
      </c>
      <c r="G104" s="18">
        <f t="shared" si="22"/>
        <v>0</v>
      </c>
      <c r="H104" s="18">
        <f t="shared" si="22"/>
        <v>0</v>
      </c>
      <c r="I104" s="18">
        <f t="shared" si="22"/>
        <v>0</v>
      </c>
      <c r="J104" s="18">
        <f t="shared" si="22"/>
        <v>0</v>
      </c>
      <c r="K104" s="18">
        <f t="shared" si="22"/>
        <v>0</v>
      </c>
      <c r="L104" s="18">
        <f t="shared" si="22"/>
        <v>0</v>
      </c>
      <c r="M104" s="18">
        <f>+SUM(M105:M106)</f>
        <v>5972812.5</v>
      </c>
      <c r="N104" s="18">
        <f>+SUM(N105:N106)</f>
        <v>7656366.9699999997</v>
      </c>
      <c r="O104" s="18">
        <f>+SUM(O105:O106)</f>
        <v>108409142.765</v>
      </c>
      <c r="P104" s="18">
        <f>+SUM(P105:P106)</f>
        <v>66822581.443570018</v>
      </c>
      <c r="Q104" s="18">
        <f>+SUM(Q105:Q107)</f>
        <v>72374366.189444855</v>
      </c>
      <c r="R104" s="18">
        <f>+SUM(R105:R107)</f>
        <v>360521363.10075212</v>
      </c>
      <c r="S104" s="18">
        <f t="shared" ref="S104:X104" si="23">+SUM(S105:S113)</f>
        <v>79926145.944973871</v>
      </c>
      <c r="T104" s="18">
        <f t="shared" si="23"/>
        <v>386128937.3688972</v>
      </c>
      <c r="U104" s="18">
        <f t="shared" si="23"/>
        <v>1230219251.7</v>
      </c>
      <c r="V104" s="18">
        <f t="shared" si="23"/>
        <v>547160365.21889055</v>
      </c>
      <c r="W104" s="18">
        <f t="shared" si="23"/>
        <v>143840497.27090001</v>
      </c>
      <c r="X104" s="18">
        <f t="shared" si="23"/>
        <v>658938246.4134295</v>
      </c>
      <c r="Y104" s="19">
        <f t="shared" ref="Y104:AB104" si="24">+SUM(Y105:Y113)</f>
        <v>164948923.99000001</v>
      </c>
      <c r="Z104" s="19">
        <f t="shared" si="24"/>
        <v>719143991.33999991</v>
      </c>
      <c r="AA104" s="19">
        <f t="shared" si="24"/>
        <v>260875533.49000001</v>
      </c>
      <c r="AB104" s="19">
        <f t="shared" si="24"/>
        <v>1587426430.5689406</v>
      </c>
      <c r="AC104" s="50">
        <v>7280443435.8018932</v>
      </c>
      <c r="AD104" s="50">
        <v>2311634153.3904881</v>
      </c>
      <c r="AE104" s="50">
        <v>0</v>
      </c>
      <c r="AF104" s="50">
        <v>4106536680.8781033</v>
      </c>
      <c r="AG104" s="50">
        <v>1717338281.25</v>
      </c>
      <c r="AH104" s="50">
        <v>6718069339.0731039</v>
      </c>
      <c r="AI104" s="50">
        <v>563531250</v>
      </c>
      <c r="AJ104" s="50">
        <v>563531250</v>
      </c>
      <c r="AK104" s="50">
        <v>1247670807.6399999</v>
      </c>
      <c r="AL104" s="50">
        <v>1247670807.6399999</v>
      </c>
    </row>
    <row r="105" spans="2:38" s="25" customFormat="1" ht="12" customHeight="1" outlineLevel="2" x14ac:dyDescent="0.2">
      <c r="B105" s="22"/>
      <c r="C105" s="23"/>
      <c r="D105" s="26" t="s">
        <v>76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5972812.5</v>
      </c>
      <c r="N105" s="27">
        <v>7656366.9699999997</v>
      </c>
      <c r="O105" s="27">
        <v>108409142.765</v>
      </c>
      <c r="P105" s="27">
        <v>66822581.443570018</v>
      </c>
      <c r="Q105" s="27">
        <v>72374366.189444855</v>
      </c>
      <c r="R105" s="27">
        <v>58659866.525877066</v>
      </c>
      <c r="S105" s="27">
        <v>79926145.944973871</v>
      </c>
      <c r="T105" s="27">
        <v>54807426.297181748</v>
      </c>
      <c r="U105" s="27">
        <v>96771751.700000003</v>
      </c>
      <c r="V105" s="27">
        <v>54909259.152569994</v>
      </c>
      <c r="W105" s="27">
        <v>143840497.27090001</v>
      </c>
      <c r="X105" s="27">
        <v>63668744.650687985</v>
      </c>
      <c r="Y105" s="21">
        <v>164948923.99000001</v>
      </c>
      <c r="Z105" s="21">
        <v>56821456.849999994</v>
      </c>
      <c r="AA105" s="21">
        <v>260875533.49000001</v>
      </c>
      <c r="AB105" s="21">
        <v>55295841.631055839</v>
      </c>
      <c r="AC105" s="51">
        <v>266402875.80189374</v>
      </c>
      <c r="AD105" s="51">
        <v>29658415.22548794</v>
      </c>
      <c r="AE105" s="51"/>
      <c r="AF105" s="51"/>
      <c r="AG105" s="51"/>
      <c r="AH105" s="51">
        <v>381129.63999999996</v>
      </c>
      <c r="AI105" s="51"/>
      <c r="AJ105" s="51"/>
      <c r="AK105" s="51"/>
      <c r="AL105" s="51"/>
    </row>
    <row r="106" spans="2:38" s="25" customFormat="1" ht="12" customHeight="1" outlineLevel="2" x14ac:dyDescent="0.2">
      <c r="B106" s="22"/>
      <c r="C106" s="23"/>
      <c r="D106" s="26" t="s">
        <v>77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251366692.98487502</v>
      </c>
      <c r="S106" s="27">
        <v>0</v>
      </c>
      <c r="T106" s="27">
        <v>221756628.62818792</v>
      </c>
      <c r="U106" s="27">
        <v>0</v>
      </c>
      <c r="V106" s="27">
        <v>261414357.45374998</v>
      </c>
      <c r="W106" s="27">
        <v>0</v>
      </c>
      <c r="X106" s="27">
        <v>399495111.83536267</v>
      </c>
      <c r="Y106" s="19"/>
      <c r="Z106" s="21">
        <v>444535871.10999995</v>
      </c>
      <c r="AA106" s="21"/>
      <c r="AB106" s="21">
        <v>942773681.42167783</v>
      </c>
      <c r="AC106" s="51">
        <v>3542488560</v>
      </c>
      <c r="AD106" s="51">
        <v>412540426.89999998</v>
      </c>
      <c r="AE106" s="51"/>
      <c r="AF106" s="51">
        <v>132193.51</v>
      </c>
      <c r="AG106" s="51"/>
      <c r="AH106" s="51"/>
      <c r="AI106" s="51"/>
      <c r="AJ106" s="51"/>
      <c r="AK106" s="51"/>
      <c r="AL106" s="51"/>
    </row>
    <row r="107" spans="2:38" s="25" customFormat="1" ht="12" customHeight="1" outlineLevel="2" x14ac:dyDescent="0.2">
      <c r="B107" s="22"/>
      <c r="C107" s="23"/>
      <c r="D107" s="26" t="s">
        <v>78</v>
      </c>
      <c r="E107" s="18"/>
      <c r="F107" s="18"/>
      <c r="G107" s="18"/>
      <c r="H107" s="18"/>
      <c r="I107" s="18"/>
      <c r="J107" s="18"/>
      <c r="K107" s="18"/>
      <c r="L107" s="18"/>
      <c r="M107" s="27"/>
      <c r="N107" s="27"/>
      <c r="O107" s="27"/>
      <c r="P107" s="27"/>
      <c r="Q107" s="27">
        <v>0</v>
      </c>
      <c r="R107" s="27">
        <v>50494803.590000004</v>
      </c>
      <c r="S107" s="27">
        <v>0</v>
      </c>
      <c r="T107" s="27">
        <v>108626017.72352749</v>
      </c>
      <c r="U107" s="27">
        <v>0</v>
      </c>
      <c r="V107" s="27">
        <v>128046526.03</v>
      </c>
      <c r="W107" s="27">
        <v>0</v>
      </c>
      <c r="X107" s="27">
        <v>195774389.92737883</v>
      </c>
      <c r="Y107" s="19"/>
      <c r="Z107" s="21">
        <v>217786663.38</v>
      </c>
      <c r="AA107" s="21"/>
      <c r="AB107" s="21">
        <v>176201395.68999997</v>
      </c>
      <c r="AC107" s="51">
        <v>3471552000</v>
      </c>
      <c r="AD107" s="51">
        <v>404279511.37</v>
      </c>
      <c r="AE107" s="51"/>
      <c r="AF107" s="51"/>
      <c r="AG107" s="51"/>
      <c r="AH107" s="51"/>
      <c r="AI107" s="51"/>
      <c r="AJ107" s="51"/>
      <c r="AK107" s="51"/>
      <c r="AL107" s="51"/>
    </row>
    <row r="108" spans="2:38" s="25" customFormat="1" ht="12" customHeight="1" outlineLevel="2" x14ac:dyDescent="0.2">
      <c r="B108" s="22"/>
      <c r="C108" s="23"/>
      <c r="D108" s="26" t="s">
        <v>87</v>
      </c>
      <c r="E108" s="18"/>
      <c r="F108" s="18"/>
      <c r="G108" s="18"/>
      <c r="H108" s="18"/>
      <c r="I108" s="18"/>
      <c r="J108" s="18"/>
      <c r="K108" s="18"/>
      <c r="L108" s="1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19"/>
      <c r="Z108" s="21"/>
      <c r="AA108" s="21"/>
      <c r="AB108" s="21">
        <v>413155511.8262068</v>
      </c>
      <c r="AC108" s="51">
        <v>0</v>
      </c>
      <c r="AD108" s="51">
        <v>863676914.55500007</v>
      </c>
      <c r="AE108" s="51">
        <v>0</v>
      </c>
      <c r="AF108" s="51">
        <v>1605068915.5481033</v>
      </c>
      <c r="AG108" s="51">
        <v>0</v>
      </c>
      <c r="AH108" s="51">
        <v>2707521640.6331034</v>
      </c>
      <c r="AI108" s="51">
        <v>0</v>
      </c>
      <c r="AJ108" s="51">
        <v>0</v>
      </c>
      <c r="AK108" s="51">
        <v>0</v>
      </c>
      <c r="AL108" s="51">
        <v>0</v>
      </c>
    </row>
    <row r="109" spans="2:38" s="25" customFormat="1" ht="12" customHeight="1" outlineLevel="2" x14ac:dyDescent="0.2">
      <c r="B109" s="22"/>
      <c r="C109" s="23"/>
      <c r="D109" s="26" t="s">
        <v>91</v>
      </c>
      <c r="E109" s="18"/>
      <c r="F109" s="18"/>
      <c r="G109" s="18"/>
      <c r="H109" s="18"/>
      <c r="I109" s="18"/>
      <c r="J109" s="18"/>
      <c r="K109" s="18"/>
      <c r="L109" s="1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19"/>
      <c r="Z109" s="21"/>
      <c r="AA109" s="21"/>
      <c r="AB109" s="21"/>
      <c r="AC109" s="51">
        <v>0</v>
      </c>
      <c r="AD109" s="51">
        <v>329503687.19999999</v>
      </c>
      <c r="AE109" s="51">
        <v>0</v>
      </c>
      <c r="AF109" s="51">
        <v>966431681.97000003</v>
      </c>
      <c r="AG109" s="51">
        <v>0</v>
      </c>
      <c r="AH109" s="51">
        <v>1787855225.9200001</v>
      </c>
      <c r="AI109" s="51">
        <v>0</v>
      </c>
      <c r="AJ109" s="51">
        <v>0</v>
      </c>
      <c r="AK109" s="51">
        <v>0</v>
      </c>
      <c r="AL109" s="51">
        <v>0</v>
      </c>
    </row>
    <row r="110" spans="2:38" s="25" customFormat="1" ht="12" customHeight="1" outlineLevel="2" x14ac:dyDescent="0.2">
      <c r="B110" s="22"/>
      <c r="C110" s="23"/>
      <c r="D110" s="26" t="s">
        <v>93</v>
      </c>
      <c r="E110" s="18"/>
      <c r="F110" s="18"/>
      <c r="G110" s="18"/>
      <c r="H110" s="18"/>
      <c r="I110" s="18"/>
      <c r="J110" s="18"/>
      <c r="K110" s="18"/>
      <c r="L110" s="1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19"/>
      <c r="Z110" s="21"/>
      <c r="AA110" s="21"/>
      <c r="AB110" s="21"/>
      <c r="AC110" s="51">
        <v>0</v>
      </c>
      <c r="AD110" s="51">
        <v>687690</v>
      </c>
      <c r="AE110" s="51">
        <v>0</v>
      </c>
      <c r="AF110" s="51">
        <v>800812891.72000003</v>
      </c>
      <c r="AG110" s="51">
        <v>0</v>
      </c>
      <c r="AH110" s="51">
        <v>1291375658.26</v>
      </c>
      <c r="AI110" s="51">
        <v>0</v>
      </c>
      <c r="AJ110" s="51">
        <v>0</v>
      </c>
      <c r="AK110" s="51">
        <v>966267653.27999997</v>
      </c>
      <c r="AL110" s="51">
        <v>966267653.27999997</v>
      </c>
    </row>
    <row r="111" spans="2:38" s="25" customFormat="1" ht="12" customHeight="1" outlineLevel="2" x14ac:dyDescent="0.2">
      <c r="B111" s="22"/>
      <c r="C111" s="23"/>
      <c r="D111" s="26" t="s">
        <v>90</v>
      </c>
      <c r="E111" s="18"/>
      <c r="F111" s="18"/>
      <c r="G111" s="18"/>
      <c r="H111" s="18"/>
      <c r="I111" s="18"/>
      <c r="J111" s="18"/>
      <c r="K111" s="18"/>
      <c r="L111" s="1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19"/>
      <c r="Z111" s="21"/>
      <c r="AA111" s="21"/>
      <c r="AB111" s="21"/>
      <c r="AC111" s="51">
        <v>0</v>
      </c>
      <c r="AD111" s="51">
        <v>271287508.13999999</v>
      </c>
      <c r="AE111" s="51">
        <v>0</v>
      </c>
      <c r="AF111" s="51">
        <v>734090998.13</v>
      </c>
      <c r="AG111" s="51">
        <v>1717338281.25</v>
      </c>
      <c r="AH111" s="51">
        <v>930935684.61999989</v>
      </c>
      <c r="AI111" s="51">
        <v>563531250</v>
      </c>
      <c r="AJ111" s="51">
        <v>563531250</v>
      </c>
      <c r="AK111" s="51">
        <v>281403154.36000001</v>
      </c>
      <c r="AL111" s="51">
        <v>281403154.36000001</v>
      </c>
    </row>
    <row r="112" spans="2:38" s="25" customFormat="1" ht="12" customHeight="1" outlineLevel="2" x14ac:dyDescent="0.2">
      <c r="B112" s="22"/>
      <c r="C112" s="23"/>
      <c r="D112" s="26" t="s">
        <v>79</v>
      </c>
      <c r="E112" s="18"/>
      <c r="F112" s="18"/>
      <c r="G112" s="18"/>
      <c r="H112" s="18"/>
      <c r="I112" s="18"/>
      <c r="J112" s="18"/>
      <c r="K112" s="18"/>
      <c r="L112" s="18"/>
      <c r="M112" s="27"/>
      <c r="N112" s="27"/>
      <c r="O112" s="27"/>
      <c r="P112" s="27"/>
      <c r="Q112" s="27"/>
      <c r="R112" s="27"/>
      <c r="S112" s="27">
        <v>0</v>
      </c>
      <c r="T112" s="27">
        <v>938864.72</v>
      </c>
      <c r="U112" s="27">
        <v>570227500</v>
      </c>
      <c r="V112" s="27">
        <v>53317678.422570571</v>
      </c>
      <c r="W112" s="27">
        <v>0</v>
      </c>
      <c r="X112" s="27"/>
      <c r="Y112" s="19"/>
      <c r="Z112" s="19"/>
      <c r="AA112" s="19"/>
      <c r="AB112" s="19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</row>
    <row r="113" spans="2:38" s="25" customFormat="1" ht="12" customHeight="1" outlineLevel="2" x14ac:dyDescent="0.2">
      <c r="B113" s="22"/>
      <c r="C113" s="23"/>
      <c r="D113" s="26" t="s">
        <v>80</v>
      </c>
      <c r="E113" s="18"/>
      <c r="F113" s="18"/>
      <c r="G113" s="18"/>
      <c r="H113" s="18"/>
      <c r="I113" s="18"/>
      <c r="J113" s="18"/>
      <c r="K113" s="18"/>
      <c r="L113" s="18"/>
      <c r="M113" s="27"/>
      <c r="N113" s="27"/>
      <c r="O113" s="27"/>
      <c r="P113" s="27"/>
      <c r="Q113" s="27"/>
      <c r="R113" s="27"/>
      <c r="S113" s="27">
        <v>0</v>
      </c>
      <c r="T113" s="27">
        <v>0</v>
      </c>
      <c r="U113" s="27">
        <v>563220000</v>
      </c>
      <c r="V113" s="27">
        <v>49472544.159999996</v>
      </c>
      <c r="W113" s="27"/>
      <c r="X113" s="27"/>
      <c r="Y113" s="19"/>
      <c r="Z113" s="19"/>
      <c r="AA113" s="19"/>
      <c r="AB113" s="19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</row>
    <row r="114" spans="2:38" s="25" customFormat="1" ht="12" customHeight="1" outlineLevel="2" x14ac:dyDescent="0.2">
      <c r="B114" s="22"/>
      <c r="C114" s="23"/>
      <c r="D114" s="26"/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19"/>
      <c r="Z114" s="19"/>
      <c r="AA114" s="19"/>
      <c r="AB114" s="19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</row>
    <row r="115" spans="2:38" s="25" customFormat="1" ht="12" customHeight="1" outlineLevel="2" x14ac:dyDescent="0.2">
      <c r="B115" s="22"/>
      <c r="C115" s="23" t="s">
        <v>62</v>
      </c>
      <c r="D115" s="26"/>
      <c r="E115" s="18">
        <f t="shared" ref="E115:Q115" si="25">+SUM(E116:E118)</f>
        <v>0</v>
      </c>
      <c r="F115" s="18">
        <f t="shared" si="25"/>
        <v>0</v>
      </c>
      <c r="G115" s="18">
        <f t="shared" si="25"/>
        <v>0</v>
      </c>
      <c r="H115" s="18">
        <f t="shared" si="25"/>
        <v>0</v>
      </c>
      <c r="I115" s="18">
        <f t="shared" si="25"/>
        <v>0</v>
      </c>
      <c r="J115" s="18">
        <f t="shared" si="25"/>
        <v>0</v>
      </c>
      <c r="K115" s="18">
        <f t="shared" si="25"/>
        <v>0</v>
      </c>
      <c r="L115" s="18">
        <f t="shared" si="25"/>
        <v>0</v>
      </c>
      <c r="M115" s="18">
        <f t="shared" si="25"/>
        <v>0</v>
      </c>
      <c r="N115" s="18">
        <f t="shared" si="25"/>
        <v>0</v>
      </c>
      <c r="O115" s="18">
        <f t="shared" si="25"/>
        <v>0</v>
      </c>
      <c r="P115" s="18">
        <f t="shared" si="25"/>
        <v>0</v>
      </c>
      <c r="Q115" s="18">
        <f t="shared" si="25"/>
        <v>10580659.405923652</v>
      </c>
      <c r="R115" s="18">
        <f t="shared" ref="R115:X115" si="26">+SUM(R116:R118)</f>
        <v>8480338.2692728303</v>
      </c>
      <c r="S115" s="18">
        <f t="shared" si="26"/>
        <v>12357437.652815418</v>
      </c>
      <c r="T115" s="18">
        <f t="shared" si="26"/>
        <v>7893471.4164993661</v>
      </c>
      <c r="U115" s="18">
        <f t="shared" si="26"/>
        <v>16437879.376418423</v>
      </c>
      <c r="V115" s="18">
        <f t="shared" si="26"/>
        <v>9042525.5600000005</v>
      </c>
      <c r="W115" s="18">
        <f>+SUM(W116:W118)</f>
        <v>26875715.34</v>
      </c>
      <c r="X115" s="18">
        <f t="shared" si="26"/>
        <v>10659686.408000002</v>
      </c>
      <c r="Y115" s="19">
        <f t="shared" ref="Y115:AB115" si="27">+SUM(Y116:Y118)</f>
        <v>29873525.919999994</v>
      </c>
      <c r="Z115" s="19">
        <f t="shared" si="27"/>
        <v>8273889.9040000001</v>
      </c>
      <c r="AA115" s="19">
        <f t="shared" si="27"/>
        <v>57801843.160000004</v>
      </c>
      <c r="AB115" s="19">
        <f t="shared" si="27"/>
        <v>7954992.2139999811</v>
      </c>
      <c r="AC115" s="50">
        <v>47592873.890000001</v>
      </c>
      <c r="AD115" s="50">
        <v>5129340.021799989</v>
      </c>
      <c r="AE115" s="50">
        <v>63005497.389999993</v>
      </c>
      <c r="AF115" s="50">
        <v>14013330.630619997</v>
      </c>
      <c r="AG115" s="50">
        <v>98985359.180000007</v>
      </c>
      <c r="AH115" s="50">
        <v>20830412.57</v>
      </c>
      <c r="AI115" s="50">
        <v>10100803.99</v>
      </c>
      <c r="AJ115" s="50">
        <v>10100803.99</v>
      </c>
      <c r="AK115" s="50">
        <v>2066052.6400000001</v>
      </c>
      <c r="AL115" s="50">
        <v>2066052.6400000001</v>
      </c>
    </row>
    <row r="116" spans="2:38" s="25" customFormat="1" ht="12" customHeight="1" outlineLevel="2" x14ac:dyDescent="0.2">
      <c r="B116" s="22"/>
      <c r="C116" s="23"/>
      <c r="D116" s="26" t="s">
        <v>81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9279470.8487098068</v>
      </c>
      <c r="R116" s="27">
        <v>7400207.85857426</v>
      </c>
      <c r="S116" s="27">
        <v>11269978.18</v>
      </c>
      <c r="T116" s="27">
        <v>7024772.4331999999</v>
      </c>
      <c r="U116" s="27">
        <v>14991420.116434671</v>
      </c>
      <c r="V116" s="27">
        <v>7184124.3799999999</v>
      </c>
      <c r="W116" s="27">
        <v>24510896.869999997</v>
      </c>
      <c r="X116" s="27">
        <v>7842764.2880000016</v>
      </c>
      <c r="Y116" s="21">
        <v>27245060.789999995</v>
      </c>
      <c r="Z116" s="21">
        <v>6257688.2439999999</v>
      </c>
      <c r="AA116" s="21">
        <v>52716300.790000007</v>
      </c>
      <c r="AB116" s="21">
        <v>7027532.9179999866</v>
      </c>
      <c r="AC116" s="51">
        <v>30063447</v>
      </c>
      <c r="AD116" s="51">
        <v>1300612.1139999889</v>
      </c>
      <c r="AE116" s="51"/>
      <c r="AF116" s="51"/>
      <c r="AG116" s="51"/>
      <c r="AH116" s="51"/>
      <c r="AI116" s="51"/>
      <c r="AJ116" s="51"/>
      <c r="AK116" s="51"/>
      <c r="AL116" s="51"/>
    </row>
    <row r="117" spans="2:38" s="14" customFormat="1" ht="12.75" customHeight="1" x14ac:dyDescent="0.2">
      <c r="B117" s="22"/>
      <c r="C117" s="23"/>
      <c r="D117" s="26" t="s">
        <v>82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932052.46756480832</v>
      </c>
      <c r="R117" s="27">
        <v>775555.56034760247</v>
      </c>
      <c r="S117" s="27">
        <v>779013.04281541868</v>
      </c>
      <c r="T117" s="27">
        <v>565596.69703892583</v>
      </c>
      <c r="U117" s="27">
        <v>1036246.1277222385</v>
      </c>
      <c r="V117" s="27">
        <v>1331576.52</v>
      </c>
      <c r="W117" s="27">
        <v>1694257.28</v>
      </c>
      <c r="X117" s="27">
        <v>1546261.2</v>
      </c>
      <c r="Y117" s="21">
        <v>1883249.8</v>
      </c>
      <c r="Z117" s="21">
        <v>1431396.3</v>
      </c>
      <c r="AA117" s="21">
        <v>3643913.36</v>
      </c>
      <c r="AB117" s="21">
        <v>685595.59600000002</v>
      </c>
      <c r="AC117" s="51">
        <v>2078083.17</v>
      </c>
      <c r="AD117" s="51">
        <v>119026.90360000005</v>
      </c>
      <c r="AE117" s="51"/>
      <c r="AF117" s="51"/>
      <c r="AG117" s="51"/>
      <c r="AH117" s="51"/>
      <c r="AI117" s="51"/>
      <c r="AJ117" s="51"/>
      <c r="AK117" s="51"/>
      <c r="AL117" s="51"/>
    </row>
    <row r="118" spans="2:38" s="14" customFormat="1" ht="12.75" customHeight="1" x14ac:dyDescent="0.2">
      <c r="B118" s="28"/>
      <c r="C118" s="23"/>
      <c r="D118" s="26" t="s">
        <v>83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7">
        <v>369136.08964903618</v>
      </c>
      <c r="R118" s="27">
        <v>304574.85035096772</v>
      </c>
      <c r="S118" s="27">
        <v>308446.43</v>
      </c>
      <c r="T118" s="27">
        <v>303102.28626044031</v>
      </c>
      <c r="U118" s="27">
        <v>410213.13226151292</v>
      </c>
      <c r="V118" s="27">
        <v>526824.66</v>
      </c>
      <c r="W118" s="27">
        <v>670561.18999999994</v>
      </c>
      <c r="X118" s="27">
        <v>1270660.92</v>
      </c>
      <c r="Y118" s="21">
        <v>745215.33</v>
      </c>
      <c r="Z118" s="21">
        <v>584805.36</v>
      </c>
      <c r="AA118" s="21">
        <v>1441629.0100000002</v>
      </c>
      <c r="AB118" s="21">
        <v>241863.69999999425</v>
      </c>
      <c r="AC118" s="51">
        <v>822019.61</v>
      </c>
      <c r="AD118" s="51">
        <v>22980.43</v>
      </c>
      <c r="AE118" s="51"/>
      <c r="AF118" s="51"/>
      <c r="AG118" s="51"/>
      <c r="AH118" s="51"/>
      <c r="AI118" s="51"/>
      <c r="AJ118" s="51"/>
      <c r="AK118" s="51"/>
      <c r="AL118" s="51"/>
    </row>
    <row r="119" spans="2:38" s="14" customFormat="1" ht="12.75" customHeight="1" x14ac:dyDescent="0.2">
      <c r="B119" s="28"/>
      <c r="C119" s="23"/>
      <c r="D119" s="26" t="s">
        <v>95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7"/>
      <c r="R119" s="27"/>
      <c r="S119" s="27"/>
      <c r="T119" s="27"/>
      <c r="U119" s="27"/>
      <c r="V119" s="27"/>
      <c r="W119" s="27"/>
      <c r="X119" s="27"/>
      <c r="Y119" s="21"/>
      <c r="Z119" s="21"/>
      <c r="AA119" s="21"/>
      <c r="AB119" s="21"/>
      <c r="AC119" s="51">
        <v>14629324.109999999</v>
      </c>
      <c r="AD119" s="51">
        <v>3686720.5742000001</v>
      </c>
      <c r="AE119" s="51">
        <v>63005497.389999993</v>
      </c>
      <c r="AF119" s="51">
        <v>14013330.630619997</v>
      </c>
      <c r="AG119" s="51">
        <v>98985359.180000007</v>
      </c>
      <c r="AH119" s="51">
        <v>20830412.57</v>
      </c>
      <c r="AI119" s="51">
        <v>10100803.99</v>
      </c>
      <c r="AJ119" s="51">
        <v>10100803.99</v>
      </c>
      <c r="AK119" s="51">
        <v>2066052.6400000001</v>
      </c>
      <c r="AL119" s="51">
        <v>2066052.6400000001</v>
      </c>
    </row>
    <row r="120" spans="2:38" s="14" customFormat="1" ht="12" customHeight="1" x14ac:dyDescent="0.2">
      <c r="B120" s="28"/>
      <c r="C120" s="23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38"/>
      <c r="V120" s="38"/>
      <c r="W120" s="38"/>
      <c r="X120" s="38"/>
      <c r="Y120" s="21"/>
      <c r="Z120" s="21"/>
      <c r="AA120" s="21"/>
      <c r="AB120" s="2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</row>
    <row r="121" spans="2:38" s="25" customFormat="1" ht="12" customHeight="1" x14ac:dyDescent="0.2">
      <c r="B121" s="29" t="s">
        <v>61</v>
      </c>
      <c r="C121" s="16"/>
      <c r="D121" s="17"/>
      <c r="E121" s="18">
        <f t="shared" ref="E121:AF121" si="28">+E59+E9</f>
        <v>524016268</v>
      </c>
      <c r="F121" s="19">
        <f t="shared" si="28"/>
        <v>246540349.19</v>
      </c>
      <c r="G121" s="18">
        <f t="shared" si="28"/>
        <v>659054109</v>
      </c>
      <c r="H121" s="19">
        <f t="shared" si="28"/>
        <v>216989632</v>
      </c>
      <c r="I121" s="18">
        <f t="shared" si="28"/>
        <v>730429264.98000002</v>
      </c>
      <c r="J121" s="19">
        <f t="shared" si="28"/>
        <v>252824057.92999998</v>
      </c>
      <c r="K121" s="18">
        <f t="shared" si="28"/>
        <v>823529239.76997566</v>
      </c>
      <c r="L121" s="19">
        <f t="shared" si="28"/>
        <v>273712365.12599194</v>
      </c>
      <c r="M121" s="18">
        <f t="shared" si="28"/>
        <v>887277265.07302165</v>
      </c>
      <c r="N121" s="19">
        <f t="shared" si="28"/>
        <v>297077891.12697953</v>
      </c>
      <c r="O121" s="18">
        <f t="shared" si="28"/>
        <v>995123556.32584357</v>
      </c>
      <c r="P121" s="19">
        <f t="shared" si="28"/>
        <v>280027065.95339358</v>
      </c>
      <c r="Q121" s="18">
        <f t="shared" si="28"/>
        <v>414254401.49382007</v>
      </c>
      <c r="R121" s="19">
        <f t="shared" si="28"/>
        <v>470478501.35209787</v>
      </c>
      <c r="S121" s="18">
        <f t="shared" si="28"/>
        <v>494177864.54048312</v>
      </c>
      <c r="T121" s="19">
        <f t="shared" si="28"/>
        <v>498833626.47063828</v>
      </c>
      <c r="U121" s="19">
        <f t="shared" si="28"/>
        <v>1696965727.634438</v>
      </c>
      <c r="V121" s="19">
        <f t="shared" si="28"/>
        <v>663357306.43196809</v>
      </c>
      <c r="W121" s="19">
        <f t="shared" si="28"/>
        <v>1123470917.6203055</v>
      </c>
      <c r="X121" s="19">
        <f t="shared" si="28"/>
        <v>1133843605.6003501</v>
      </c>
      <c r="Y121" s="19">
        <f t="shared" si="28"/>
        <v>1194062155.7311513</v>
      </c>
      <c r="Z121" s="19">
        <f t="shared" si="28"/>
        <v>1189516820.2940626</v>
      </c>
      <c r="AA121" s="19">
        <f t="shared" si="28"/>
        <v>1337158642.1179597</v>
      </c>
      <c r="AB121" s="19">
        <f t="shared" si="28"/>
        <v>2165399585.1900697</v>
      </c>
      <c r="AC121" s="19">
        <f t="shared" si="28"/>
        <v>8257321015.5591583</v>
      </c>
      <c r="AD121" s="19">
        <f t="shared" si="28"/>
        <v>2667953826.1232052</v>
      </c>
      <c r="AE121" s="19">
        <f t="shared" si="28"/>
        <v>1515325084.76121</v>
      </c>
      <c r="AF121" s="19">
        <f t="shared" si="28"/>
        <v>5642029226.4168329</v>
      </c>
      <c r="AG121" s="19">
        <f>+AG59+AG9</f>
        <v>5519049545.7428493</v>
      </c>
      <c r="AH121" s="19">
        <f>+AH59+AH9</f>
        <v>10095613241.689342</v>
      </c>
      <c r="AI121" s="19">
        <f t="shared" ref="AI121:AL121" si="29">+AI59+AI9</f>
        <v>893408348.26530004</v>
      </c>
      <c r="AJ121" s="19">
        <f t="shared" si="29"/>
        <v>893408348.2736634</v>
      </c>
      <c r="AK121" s="19">
        <f t="shared" si="29"/>
        <v>1420468318.2744</v>
      </c>
      <c r="AL121" s="19">
        <f t="shared" si="29"/>
        <v>1420468318.27</v>
      </c>
    </row>
    <row r="122" spans="2:38" ht="12" customHeight="1" thickBot="1" x14ac:dyDescent="0.25">
      <c r="B122" s="30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40"/>
      <c r="V122" s="40"/>
      <c r="W122" s="40"/>
      <c r="X122" s="40"/>
      <c r="Y122" s="44"/>
      <c r="Z122" s="44"/>
      <c r="AA122" s="44"/>
      <c r="AB122" s="44"/>
      <c r="AC122" s="52"/>
      <c r="AD122" s="52"/>
      <c r="AE122" s="52"/>
      <c r="AF122" s="52"/>
      <c r="AG122" s="52"/>
      <c r="AH122" s="52"/>
      <c r="AI122" s="52"/>
      <c r="AJ122" s="52"/>
      <c r="AK122" s="52"/>
      <c r="AL122" s="57"/>
    </row>
    <row r="123" spans="2:38" x14ac:dyDescent="0.2">
      <c r="E123" s="34"/>
      <c r="F123" s="34"/>
      <c r="G123" s="34"/>
      <c r="H123" s="34"/>
      <c r="I123" s="34"/>
      <c r="J123" s="34"/>
    </row>
    <row r="124" spans="2:38" x14ac:dyDescent="0.2">
      <c r="C124" s="36" t="s">
        <v>66</v>
      </c>
      <c r="E124" s="34"/>
      <c r="F124" s="34"/>
      <c r="G124" s="34"/>
      <c r="H124" s="34"/>
      <c r="I124" s="34"/>
      <c r="J124" s="34"/>
      <c r="AA124" s="47"/>
      <c r="AC124" s="47"/>
      <c r="AE124" s="53"/>
      <c r="AG124" s="53"/>
      <c r="AH124" s="48"/>
      <c r="AI124" s="48"/>
      <c r="AJ124" s="48"/>
      <c r="AK124" s="53"/>
      <c r="AL124" s="53"/>
    </row>
    <row r="125" spans="2:38" x14ac:dyDescent="0.2">
      <c r="D125" s="41" t="s">
        <v>110</v>
      </c>
      <c r="E125" s="34"/>
      <c r="F125" s="34"/>
      <c r="G125" s="34"/>
      <c r="H125" s="34"/>
      <c r="I125" s="34"/>
      <c r="J125" s="34"/>
      <c r="S125" s="37"/>
      <c r="T125" s="37"/>
      <c r="AA125" s="47"/>
      <c r="AB125" s="47"/>
      <c r="AC125" s="47"/>
      <c r="AD125" s="47"/>
      <c r="AE125" s="53"/>
      <c r="AF125" s="53"/>
      <c r="AG125" s="53"/>
      <c r="AH125" s="53"/>
      <c r="AI125" s="53"/>
      <c r="AJ125" s="53"/>
      <c r="AK125" s="53"/>
      <c r="AL125" s="53"/>
    </row>
    <row r="126" spans="2:38" x14ac:dyDescent="0.2">
      <c r="E126" s="34"/>
      <c r="F126" s="34"/>
      <c r="G126" s="34"/>
      <c r="H126" s="34"/>
      <c r="I126" s="34"/>
      <c r="J126" s="34"/>
    </row>
    <row r="127" spans="2:38" x14ac:dyDescent="0.2">
      <c r="E127" s="34"/>
      <c r="F127" s="34"/>
      <c r="G127" s="34"/>
      <c r="H127" s="34"/>
      <c r="I127" s="34"/>
      <c r="J127" s="34"/>
    </row>
    <row r="128" spans="2:38" x14ac:dyDescent="0.2">
      <c r="E128" s="34"/>
      <c r="F128" s="34"/>
      <c r="G128" s="34"/>
      <c r="H128" s="34"/>
      <c r="I128" s="34"/>
      <c r="J128" s="34"/>
    </row>
    <row r="129" spans="5:10" x14ac:dyDescent="0.2">
      <c r="E129" s="34"/>
      <c r="F129" s="34"/>
      <c r="G129" s="34"/>
      <c r="H129" s="34"/>
      <c r="I129" s="34"/>
      <c r="J129" s="34"/>
    </row>
    <row r="130" spans="5:10" x14ac:dyDescent="0.2">
      <c r="E130" s="34"/>
      <c r="F130" s="34"/>
      <c r="G130" s="34"/>
      <c r="H130" s="34"/>
      <c r="I130" s="34"/>
      <c r="J130" s="34"/>
    </row>
    <row r="131" spans="5:10" x14ac:dyDescent="0.2">
      <c r="E131" s="34"/>
      <c r="F131" s="34"/>
      <c r="G131" s="34"/>
      <c r="H131" s="34"/>
      <c r="I131" s="34"/>
      <c r="J131" s="34"/>
    </row>
    <row r="132" spans="5:10" x14ac:dyDescent="0.2">
      <c r="E132" s="34"/>
      <c r="F132" s="34"/>
      <c r="G132" s="34"/>
      <c r="H132" s="34"/>
      <c r="I132" s="34"/>
      <c r="J132" s="34"/>
    </row>
    <row r="133" spans="5:10" x14ac:dyDescent="0.2">
      <c r="E133" s="34"/>
      <c r="F133" s="34"/>
      <c r="G133" s="34"/>
      <c r="H133" s="34"/>
      <c r="I133" s="34"/>
      <c r="J133" s="34"/>
    </row>
    <row r="134" spans="5:10" x14ac:dyDescent="0.2">
      <c r="E134" s="34"/>
      <c r="F134" s="34"/>
      <c r="G134" s="34"/>
      <c r="H134" s="34"/>
      <c r="I134" s="34"/>
      <c r="J134" s="34"/>
    </row>
    <row r="135" spans="5:10" x14ac:dyDescent="0.2">
      <c r="E135" s="34"/>
      <c r="F135" s="34"/>
      <c r="G135" s="34"/>
      <c r="H135" s="34"/>
      <c r="I135" s="34"/>
      <c r="J135" s="34"/>
    </row>
    <row r="136" spans="5:10" x14ac:dyDescent="0.2">
      <c r="E136" s="34"/>
      <c r="F136" s="34"/>
      <c r="G136" s="34"/>
      <c r="H136" s="34"/>
      <c r="I136" s="34"/>
      <c r="J136" s="34"/>
    </row>
    <row r="137" spans="5:10" x14ac:dyDescent="0.2">
      <c r="E137" s="34"/>
      <c r="F137" s="34"/>
      <c r="G137" s="34"/>
      <c r="H137" s="34"/>
      <c r="I137" s="34"/>
      <c r="J137" s="34"/>
    </row>
  </sheetData>
  <mergeCells count="17">
    <mergeCell ref="B7:D7"/>
    <mergeCell ref="E6:F6"/>
    <mergeCell ref="G6:H6"/>
    <mergeCell ref="I6:J6"/>
    <mergeCell ref="K6:L6"/>
    <mergeCell ref="AG6:AH6"/>
    <mergeCell ref="AI6:AL6"/>
    <mergeCell ref="AE6:AF6"/>
    <mergeCell ref="AC6:AD6"/>
    <mergeCell ref="M6:N6"/>
    <mergeCell ref="AA6:AB6"/>
    <mergeCell ref="O6:P6"/>
    <mergeCell ref="Y6:Z6"/>
    <mergeCell ref="W6:X6"/>
    <mergeCell ref="U6:V6"/>
    <mergeCell ref="S6:T6"/>
    <mergeCell ref="Q6:R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7" orientation="landscape" horizontalDpi="300" verticalDpi="300" r:id="rId1"/>
  <headerFooter alignWithMargins="0"/>
  <ignoredErrors>
    <ignoredError sqref="S115:T11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2020-03-03T12:48:06Z</dcterms:modified>
</cp:coreProperties>
</file>