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19\Anexo Web para enviar\PÁGINA\Diciembre\"/>
    </mc:Choice>
  </mc:AlternateContent>
  <bookViews>
    <workbookView xWindow="240" yWindow="30" windowWidth="12120" windowHeight="91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Pagados'!$B$1:$BF$125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Pagados'!$D$1:$D$122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Pagados'!$9:$57</definedName>
  </definedNames>
  <calcPr calcId="162913"/>
</workbook>
</file>

<file path=xl/calcChain.xml><?xml version="1.0" encoding="utf-8"?>
<calcChain xmlns="http://schemas.openxmlformats.org/spreadsheetml/2006/main">
  <c r="AR121" i="4" l="1"/>
  <c r="BE121" i="4"/>
  <c r="AQ121" i="4" l="1"/>
  <c r="BD121" i="4"/>
  <c r="AY59" i="4" l="1"/>
  <c r="BC121" i="4"/>
  <c r="AP121" i="4" l="1"/>
  <c r="AS121" i="4"/>
  <c r="BB121" i="4" l="1"/>
  <c r="AO121" i="4"/>
  <c r="Y61" i="4" l="1"/>
  <c r="AZ121" i="4" l="1"/>
  <c r="AN121" i="4"/>
  <c r="BA121" i="4"/>
  <c r="AM121" i="4" l="1"/>
  <c r="AY121" i="4" l="1"/>
  <c r="AL121" i="4"/>
  <c r="AX121" i="4" l="1"/>
  <c r="AK121" i="4"/>
  <c r="AW121" i="4" l="1"/>
  <c r="AV121" i="4"/>
  <c r="AU121" i="4"/>
  <c r="AT121" i="4"/>
  <c r="AJ121" i="4"/>
  <c r="AI121" i="4"/>
  <c r="AH121" i="4"/>
  <c r="AF121" i="4" l="1"/>
  <c r="AE121" i="4"/>
  <c r="AG121" i="4" l="1"/>
  <c r="BF121" i="4" l="1"/>
  <c r="AD121" i="4" l="1"/>
  <c r="AC121" i="4"/>
  <c r="AB115" i="4" l="1"/>
  <c r="AB104" i="4"/>
  <c r="AB92" i="4"/>
  <c r="AB61" i="4"/>
  <c r="AB53" i="4"/>
  <c r="AB49" i="4"/>
  <c r="AB26" i="4"/>
  <c r="AB23" i="4"/>
  <c r="AB16" i="4"/>
  <c r="AB11" i="4"/>
  <c r="AA115" i="4"/>
  <c r="AA104" i="4"/>
  <c r="AA92" i="4"/>
  <c r="AA61" i="4"/>
  <c r="AA53" i="4"/>
  <c r="AA49" i="4"/>
  <c r="AA26" i="4"/>
  <c r="AA23" i="4"/>
  <c r="AA16" i="4"/>
  <c r="AA11" i="4"/>
  <c r="AA9" i="4" l="1"/>
  <c r="AA59" i="4" l="1"/>
  <c r="AA121" i="4" s="1"/>
  <c r="AB59" i="4" l="1"/>
  <c r="AB9" i="4"/>
  <c r="AB121" i="4" l="1"/>
  <c r="Y26" i="4"/>
  <c r="Z11" i="4"/>
  <c r="Y11" i="4"/>
  <c r="Z115" i="4"/>
  <c r="Y115" i="4"/>
  <c r="W115" i="4"/>
  <c r="E11" i="4"/>
  <c r="F11" i="4"/>
  <c r="G11" i="4"/>
  <c r="I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H12" i="4"/>
  <c r="H11" i="4" s="1"/>
  <c r="J12" i="4"/>
  <c r="J11" i="4" s="1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E18" i="4"/>
  <c r="E16" i="4" s="1"/>
  <c r="F18" i="4"/>
  <c r="G18" i="4"/>
  <c r="G16" i="4" s="1"/>
  <c r="H18" i="4"/>
  <c r="I18" i="4"/>
  <c r="I16" i="4" s="1"/>
  <c r="J18" i="4"/>
  <c r="F21" i="4"/>
  <c r="H21" i="4"/>
  <c r="J21" i="4"/>
  <c r="O23" i="4"/>
  <c r="P23" i="4"/>
  <c r="Q23" i="4"/>
  <c r="R23" i="4"/>
  <c r="S23" i="4"/>
  <c r="T23" i="4"/>
  <c r="U23" i="4"/>
  <c r="V23" i="4"/>
  <c r="W23" i="4"/>
  <c r="X23" i="4"/>
  <c r="Y23" i="4"/>
  <c r="Z23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Z26" i="4"/>
  <c r="F27" i="4"/>
  <c r="H27" i="4"/>
  <c r="J27" i="4"/>
  <c r="F28" i="4"/>
  <c r="H28" i="4"/>
  <c r="J28" i="4"/>
  <c r="E29" i="4"/>
  <c r="F29" i="4"/>
  <c r="F38" i="4"/>
  <c r="H38" i="4"/>
  <c r="J38" i="4"/>
  <c r="E42" i="4"/>
  <c r="F42" i="4"/>
  <c r="G42" i="4"/>
  <c r="G26" i="4" s="1"/>
  <c r="H42" i="4"/>
  <c r="I42" i="4"/>
  <c r="I26" i="4" s="1"/>
  <c r="J42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E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Z61" i="4"/>
  <c r="F64" i="4"/>
  <c r="H64" i="4"/>
  <c r="J64" i="4"/>
  <c r="F65" i="4"/>
  <c r="H65" i="4"/>
  <c r="J65" i="4"/>
  <c r="F66" i="4"/>
  <c r="H66" i="4"/>
  <c r="J66" i="4"/>
  <c r="F67" i="4"/>
  <c r="F73" i="4"/>
  <c r="H73" i="4"/>
  <c r="J73" i="4"/>
  <c r="F74" i="4"/>
  <c r="H74" i="4"/>
  <c r="I74" i="4"/>
  <c r="I61" i="4" s="1"/>
  <c r="J74" i="4"/>
  <c r="F75" i="4"/>
  <c r="G75" i="4"/>
  <c r="H75" i="4"/>
  <c r="F76" i="4"/>
  <c r="G76" i="4"/>
  <c r="H76" i="4"/>
  <c r="F77" i="4"/>
  <c r="H77" i="4"/>
  <c r="E92" i="4"/>
  <c r="G92" i="4"/>
  <c r="I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F98" i="4"/>
  <c r="F92" i="4" s="1"/>
  <c r="H98" i="4"/>
  <c r="H92" i="4" s="1"/>
  <c r="J98" i="4"/>
  <c r="J92" i="4" s="1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X115" i="4"/>
  <c r="J61" i="4"/>
  <c r="S59" i="4"/>
  <c r="O59" i="4"/>
  <c r="F26" i="4"/>
  <c r="H16" i="4"/>
  <c r="Y59" i="4" l="1"/>
  <c r="W59" i="4"/>
  <c r="K59" i="4"/>
  <c r="U9" i="4"/>
  <c r="G61" i="4"/>
  <c r="G59" i="4" s="1"/>
  <c r="Y9" i="4"/>
  <c r="Q9" i="4"/>
  <c r="M9" i="4"/>
  <c r="H26" i="4"/>
  <c r="H9" i="4" s="1"/>
  <c r="X9" i="4"/>
  <c r="P9" i="4"/>
  <c r="V59" i="4"/>
  <c r="N59" i="4"/>
  <c r="H61" i="4"/>
  <c r="H59" i="4" s="1"/>
  <c r="T9" i="4"/>
  <c r="L9" i="4"/>
  <c r="R59" i="4"/>
  <c r="F16" i="4"/>
  <c r="F9" i="4" s="1"/>
  <c r="J59" i="4"/>
  <c r="E26" i="4"/>
  <c r="E9" i="4" s="1"/>
  <c r="J16" i="4"/>
  <c r="Z59" i="4"/>
  <c r="X59" i="4"/>
  <c r="T59" i="4"/>
  <c r="P59" i="4"/>
  <c r="L59" i="4"/>
  <c r="E59" i="4"/>
  <c r="I59" i="4"/>
  <c r="F61" i="4"/>
  <c r="F59" i="4" s="1"/>
  <c r="U59" i="4"/>
  <c r="Q59" i="4"/>
  <c r="M59" i="4"/>
  <c r="J26" i="4"/>
  <c r="N9" i="4"/>
  <c r="Z9" i="4"/>
  <c r="V9" i="4"/>
  <c r="R9" i="4"/>
  <c r="W9" i="4"/>
  <c r="W121" i="4" s="1"/>
  <c r="S9" i="4"/>
  <c r="S121" i="4" s="1"/>
  <c r="O9" i="4"/>
  <c r="O121" i="4" s="1"/>
  <c r="K9" i="4"/>
  <c r="K121" i="4" s="1"/>
  <c r="G9" i="4"/>
  <c r="I9" i="4"/>
  <c r="U121" i="4" l="1"/>
  <c r="V121" i="4"/>
  <c r="M121" i="4"/>
  <c r="N121" i="4"/>
  <c r="P121" i="4"/>
  <c r="I121" i="4"/>
  <c r="X121" i="4"/>
  <c r="R121" i="4"/>
  <c r="Y121" i="4"/>
  <c r="H121" i="4"/>
  <c r="J9" i="4"/>
  <c r="J121" i="4" s="1"/>
  <c r="L121" i="4"/>
  <c r="Q121" i="4"/>
  <c r="G121" i="4"/>
  <c r="T121" i="4"/>
  <c r="E121" i="4"/>
  <c r="F121" i="4"/>
  <c r="Z121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<sst xmlns="http://schemas.openxmlformats.org/spreadsheetml/2006/main" count="160" uniqueCount="135">
  <si>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</si>
  <si>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</si>
  <si>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</si>
  <si>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</si>
  <si>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</si>
  <si>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</si>
  <si>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</si>
  <si>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</si>
  <si>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</si>
  <si>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</si>
  <si>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</si>
  <si>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</si>
  <si>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</si>
  <si>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</si>
  <si>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</si>
  <si>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</si>
  <si>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</si>
  <si>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</si>
  <si>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</si>
  <si>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</si>
  <si>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</si>
  <si>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</si>
  <si>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</si>
  <si>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</si>
  <si>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</si>
  <si>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</si>
  <si>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</si>
  <si>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</si>
  <si>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</si>
  <si>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</si>
  <si>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</si>
  <si>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</si>
  <si>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</si>
  <si>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Financiamiento Ordenado 2002 - Ley 9038</t>
  </si>
  <si>
    <t>Programa de Financiamiento Ordenado 2003 - Ley 9093</t>
  </si>
  <si>
    <t>Programa de Financiamiento Ordenado 2004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</si>
  <si>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</si>
  <si>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</si>
  <si>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</si>
  <si>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</si>
  <si>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</si>
  <si>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</si>
  <si>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</si>
  <si>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</si>
  <si>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</si>
  <si>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1.6. Varios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</si>
  <si>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</si>
  <si>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</si>
  <si>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</si>
  <si>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</si>
  <si>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</si>
  <si>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</si>
  <si>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3280/AR</t>
  </si>
  <si>
    <t>BIRF 3877/AR</t>
  </si>
  <si>
    <t>BIRF 4093/AR (Caminos Provinciales)</t>
  </si>
  <si>
    <t>BIRF 4273/AR (El Niño)</t>
  </si>
  <si>
    <t>BIRF 4585/AR</t>
  </si>
  <si>
    <t>BIRF 7352</t>
  </si>
  <si>
    <t>BIRF 2920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</si>
  <si>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</si>
  <si>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</si>
  <si>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</si>
  <si>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</si>
  <si>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</si>
  <si>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</si>
  <si>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</si>
  <si>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</si>
  <si>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</si>
  <si>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</si>
  <si>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</si>
  <si>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</si>
  <si>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</si>
  <si>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</si>
  <si>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</si>
  <si>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</si>
  <si>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</si>
  <si>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</si>
  <si>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</si>
  <si>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</si>
  <si>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</si>
  <si>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</si>
  <si>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</si>
  <si>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</si>
  <si>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</si>
  <si>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</si>
  <si>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</si>
  <si>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</si>
  <si>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</si>
  <si>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</si>
  <si>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</si>
  <si>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</si>
  <si>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</si>
  <si>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PFD</t>
  </si>
  <si>
    <t>Título Internacional al 7,125% con vencimiento 2027</t>
  </si>
  <si>
    <t>Préstamos IFC</t>
  </si>
  <si>
    <t>Carta de Crédito MOTOROLA</t>
  </si>
  <si>
    <t>Préstamos IFC - Etapa II</t>
  </si>
  <si>
    <t>Préstamo Fondo Fiduciario para el Desarrollo Provincial</t>
  </si>
  <si>
    <t>2019 (**)</t>
  </si>
  <si>
    <t>FONDAGRO</t>
  </si>
  <si>
    <t xml:space="preserve">Servicios de Deuda Pagados año 2005 a 2019 - Consolidado </t>
  </si>
  <si>
    <t>DEUTSCHE BANK- ESC. PROA</t>
  </si>
  <si>
    <t>DEUTSCHE BANK- HOS.SUROESTE</t>
  </si>
  <si>
    <t>Préstamo BBVA (Hospitales)</t>
  </si>
  <si>
    <t>Amortización ENERO</t>
  </si>
  <si>
    <t>Amortización FEBRERO</t>
  </si>
  <si>
    <t>Amortización MARZO</t>
  </si>
  <si>
    <t>Amortización ABRIL</t>
  </si>
  <si>
    <t>Amortización ACUMULADA</t>
  </si>
  <si>
    <t>Interés (*) ENERO</t>
  </si>
  <si>
    <t>Interés (*) FEBRERO</t>
  </si>
  <si>
    <t>Interés (*) MARZO</t>
  </si>
  <si>
    <t>Interés (*) ABRIL</t>
  </si>
  <si>
    <t>Interés (*) ACUMULADO</t>
  </si>
  <si>
    <t>Interés (*) MAYO</t>
  </si>
  <si>
    <t>Amortización MAYO</t>
  </si>
  <si>
    <t>Amortización JUNIO</t>
  </si>
  <si>
    <t>Interés (*) JUNIO</t>
  </si>
  <si>
    <t>Amortización JULIO</t>
  </si>
  <si>
    <t>Interés (*) JULIO</t>
  </si>
  <si>
    <t>Interés (*) AGOSTO</t>
  </si>
  <si>
    <t>Amortización AGOSTO</t>
  </si>
  <si>
    <t>BID 1134/OC-AR BID 940</t>
  </si>
  <si>
    <t>OFID</t>
  </si>
  <si>
    <t>Amortización SEPTIEMBRE</t>
  </si>
  <si>
    <t>Interés (*) SEPTIEMBRE</t>
  </si>
  <si>
    <t>FONDO KUWAITI</t>
  </si>
  <si>
    <t>Interés (*) OCTUBRE</t>
  </si>
  <si>
    <t>Amortización OCTUBRE</t>
  </si>
  <si>
    <t>2.2. Bancos Extranjeros y Otros Organismos</t>
  </si>
  <si>
    <t>Amortización NOVIEMBRE</t>
  </si>
  <si>
    <t>Interés (*) NOVIEMBRE</t>
  </si>
  <si>
    <t>Amortización DICIEMBRE</t>
  </si>
  <si>
    <t>Interés (*) DICIEMBRE</t>
  </si>
  <si>
    <t>(**) Pagado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</si>
</sst>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7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9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49" fontId="20" fillId="0" borderId="0" xfId="0" applyNumberFormat="1" applyFont="1" applyFill="1"/>
    <xf numFmtId="4" fontId="18" fillId="0" borderId="0" xfId="0" applyNumberFormat="1" applyFont="1" applyFill="1"/>
    <xf numFmtId="4" fontId="24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6" fillId="0" borderId="0" xfId="0" applyFont="1" applyFill="1"/>
    <xf numFmtId="0" fontId="36" fillId="0" borderId="14" xfId="0" applyFont="1" applyFill="1" applyBorder="1" applyAlignment="1">
      <alignment wrapText="1"/>
    </xf>
    <xf numFmtId="4" fontId="37" fillId="0" borderId="21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1" fontId="38" fillId="24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0" fontId="36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7" fillId="25" borderId="21" xfId="0" applyNumberFormat="1" applyFont="1" applyFill="1" applyBorder="1" applyAlignment="1">
      <alignment vertical="center"/>
    </xf>
    <xf numFmtId="4" fontId="39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1" fontId="24" fillId="24" borderId="22" xfId="0" applyNumberFormat="1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wrapText="1"/>
    </xf>
    <xf numFmtId="3" fontId="18" fillId="25" borderId="15" xfId="0" applyNumberFormat="1" applyFont="1" applyFill="1" applyBorder="1" applyAlignment="1">
      <alignment wrapText="1"/>
    </xf>
    <xf numFmtId="3" fontId="19" fillId="25" borderId="15" xfId="0" applyNumberFormat="1" applyFont="1" applyFill="1" applyBorder="1" applyAlignment="1">
      <alignment wrapText="1"/>
    </xf>
    <xf numFmtId="3" fontId="18" fillId="0" borderId="15" xfId="0" applyNumberFormat="1" applyFont="1" applyFill="1" applyBorder="1" applyAlignment="1">
      <alignment wrapText="1"/>
    </xf>
    <xf numFmtId="4" fontId="37" fillId="25" borderId="18" xfId="0" applyNumberFormat="1" applyFont="1" applyFill="1" applyBorder="1" applyAlignment="1">
      <alignment vertical="center"/>
    </xf>
    <xf numFmtId="1" fontId="24" fillId="24" borderId="25" xfId="0" applyNumberFormat="1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wrapText="1"/>
    </xf>
    <xf numFmtId="3" fontId="18" fillId="25" borderId="27" xfId="0" applyNumberFormat="1" applyFont="1" applyFill="1" applyBorder="1" applyAlignment="1">
      <alignment wrapText="1"/>
    </xf>
    <xf numFmtId="3" fontId="19" fillId="25" borderId="27" xfId="0" applyNumberFormat="1" applyFont="1" applyFill="1" applyBorder="1" applyAlignment="1">
      <alignment wrapText="1"/>
    </xf>
    <xf numFmtId="3" fontId="18" fillId="0" borderId="27" xfId="0" applyNumberFormat="1" applyFont="1" applyFill="1" applyBorder="1" applyAlignment="1">
      <alignment wrapText="1"/>
    </xf>
    <xf numFmtId="4" fontId="37" fillId="25" borderId="28" xfId="0" applyNumberFormat="1" applyFont="1" applyFill="1" applyBorder="1" applyAlignment="1">
      <alignment vertical="center"/>
    </xf>
    <xf numFmtId="1" fontId="24" fillId="24" borderId="24" xfId="0" applyNumberFormat="1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wrapText="1"/>
    </xf>
    <xf numFmtId="3" fontId="18" fillId="25" borderId="0" xfId="0" applyNumberFormat="1" applyFont="1" applyFill="1" applyBorder="1" applyAlignment="1">
      <alignment wrapText="1"/>
    </xf>
    <xf numFmtId="3" fontId="19" fillId="25" borderId="0" xfId="0" applyNumberFormat="1" applyFont="1" applyFill="1" applyBorder="1" applyAlignment="1">
      <alignment wrapText="1"/>
    </xf>
    <xf numFmtId="3" fontId="18" fillId="0" borderId="0" xfId="0" applyNumberFormat="1" applyFont="1" applyFill="1" applyBorder="1" applyAlignment="1">
      <alignment wrapText="1"/>
    </xf>
    <xf numFmtId="4" fontId="37" fillId="25" borderId="19" xfId="0" applyNumberFormat="1" applyFont="1" applyFill="1" applyBorder="1" applyAlignment="1">
      <alignment vertical="center"/>
    </xf>
    <xf numFmtId="1" fontId="24" fillId="24" borderId="30" xfId="0" applyNumberFormat="1" applyFont="1" applyFill="1" applyBorder="1" applyAlignment="1">
      <alignment horizontal="center" vertical="center"/>
    </xf>
    <xf numFmtId="1" fontId="24" fillId="24" borderId="29" xfId="0" applyNumberFormat="1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wrapText="1"/>
    </xf>
    <xf numFmtId="3" fontId="18" fillId="25" borderId="32" xfId="0" applyNumberFormat="1" applyFont="1" applyFill="1" applyBorder="1" applyAlignment="1">
      <alignment wrapText="1"/>
    </xf>
    <xf numFmtId="3" fontId="19" fillId="25" borderId="32" xfId="0" applyNumberFormat="1" applyFont="1" applyFill="1" applyBorder="1" applyAlignment="1">
      <alignment wrapText="1"/>
    </xf>
    <xf numFmtId="3" fontId="18" fillId="0" borderId="32" xfId="0" applyNumberFormat="1" applyFont="1" applyFill="1" applyBorder="1" applyAlignment="1">
      <alignment wrapText="1"/>
    </xf>
    <xf numFmtId="4" fontId="37" fillId="25" borderId="33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wrapText="1"/>
    </xf>
    <xf numFmtId="0" fontId="36" fillId="25" borderId="35" xfId="0" applyFont="1" applyFill="1" applyBorder="1" applyAlignment="1">
      <alignment wrapText="1"/>
    </xf>
    <xf numFmtId="3" fontId="18" fillId="25" borderId="34" xfId="0" applyNumberFormat="1" applyFont="1" applyFill="1" applyBorder="1" applyAlignment="1">
      <alignment wrapText="1"/>
    </xf>
    <xf numFmtId="3" fontId="19" fillId="25" borderId="34" xfId="0" applyNumberFormat="1" applyFont="1" applyFill="1" applyBorder="1" applyAlignment="1">
      <alignment wrapText="1"/>
    </xf>
    <xf numFmtId="4" fontId="37" fillId="25" borderId="3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39" fillId="25" borderId="0" xfId="0" applyNumberFormat="1" applyFont="1" applyFill="1" applyAlignment="1">
      <alignment horizontal="right"/>
    </xf>
    <xf numFmtId="3" fontId="24" fillId="24" borderId="22" xfId="0" applyNumberFormat="1" applyFont="1" applyFill="1" applyBorder="1" applyAlignment="1">
      <alignment horizontal="center"/>
    </xf>
    <xf numFmtId="3" fontId="38" fillId="24" borderId="23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24" fillId="24" borderId="22" xfId="0" applyNumberFormat="1" applyFont="1" applyFill="1" applyBorder="1" applyAlignment="1">
      <alignment horizontal="center" vertical="center"/>
    </xf>
    <xf numFmtId="3" fontId="24" fillId="24" borderId="24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  <xf numFmtId="3" fontId="38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333375</xdr:colOff>
      <xdr:row>1</xdr:row>
      <xdr:rowOff>38100</xdr:rowOff>
    </xdr:from>
    <xdr:to>
      <xdr:col>57</xdr:col>
      <xdr:colOff>847725</xdr:colOff>
      <xdr:row>3</xdr:row>
      <xdr:rowOff>114300</xdr:rowOff>
    </xdr:to>
    <xdr:pic>
      <xdr:nvPicPr>
        <xdr:cNvPr id="3" name="Picture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BF137"/>
  <sheetViews>
    <sheetView showGridLines="0" tabSelected="1" view="pageBreakPreview" zoomScaleNormal="100" zoomScaleSheetLayoutView="100" workbookViewId="0">
      <pane xSplit="4" ySplit="8" topLeftCell="AV9" activePane="bottomRight" state="frozen"/>
      <selection activeCell="B65" sqref="B65"/>
      <selection pane="topRight" activeCell="B65" sqref="B65"/>
      <selection pane="bottomLeft" activeCell="B65" sqref="B65"/>
      <selection pane="bottomRight" activeCell="AF124" sqref="AF124:BF125"/>
    </sheetView>
  </sheetViews>
  <sheetFormatPr baseColWidth="10" defaultColWidth="10.7109375" defaultRowHeight="11.25" outlineLevelRow="2" x14ac:dyDescent="0.2"/>
  <cols>
    <col min="1" max="1" width="11.42578125" style="6" customWidth="1"/>
    <col min="2" max="2" width="0.85546875" style="6" customWidth="1"/>
    <col min="3" max="3" width="1.5703125" style="6" customWidth="1"/>
    <col min="4" max="4" width="54.7109375" style="35" customWidth="1"/>
    <col min="5" max="6" width="15.28515625" style="6" customWidth="1"/>
    <col min="7" max="8" width="15" style="6" customWidth="1"/>
    <col min="9" max="10" width="13.5703125" style="6" customWidth="1"/>
    <col min="11" max="12" width="14.42578125" style="6" customWidth="1"/>
    <col min="13" max="13" width="13.28515625" style="6" customWidth="1"/>
    <col min="14" max="14" width="13.7109375" style="6" customWidth="1"/>
    <col min="15" max="16" width="13.5703125" style="6" customWidth="1"/>
    <col min="17" max="17" width="12.42578125" style="6" customWidth="1"/>
    <col min="18" max="18" width="14" style="6" customWidth="1"/>
    <col min="19" max="20" width="13.5703125" style="6" customWidth="1"/>
    <col min="21" max="21" width="17.7109375" style="6" customWidth="1"/>
    <col min="22" max="22" width="14.28515625" style="6" customWidth="1"/>
    <col min="23" max="23" width="15.5703125" style="6" customWidth="1"/>
    <col min="24" max="24" width="16.7109375" style="6" customWidth="1"/>
    <col min="25" max="25" width="15.5703125" style="45" customWidth="1"/>
    <col min="26" max="26" width="16.7109375" style="45" customWidth="1"/>
    <col min="27" max="27" width="15.42578125" style="6" customWidth="1"/>
    <col min="28" max="28" width="16.85546875" style="6" customWidth="1"/>
    <col min="29" max="29" width="15.42578125" style="6" customWidth="1"/>
    <col min="30" max="30" width="16.85546875" style="6" customWidth="1"/>
    <col min="31" max="31" width="15.42578125" style="6" customWidth="1"/>
    <col min="32" max="32" width="16.85546875" style="6" customWidth="1"/>
    <col min="33" max="33" width="16.85546875" style="6" bestFit="1" customWidth="1"/>
    <col min="34" max="34" width="18.7109375" style="6" bestFit="1" customWidth="1"/>
    <col min="35" max="35" width="17.7109375" style="6" bestFit="1" customWidth="1"/>
    <col min="36" max="36" width="16.5703125" style="6" bestFit="1" customWidth="1"/>
    <col min="37" max="39" width="16.5703125" style="6" customWidth="1"/>
    <col min="40" max="40" width="18.5703125" style="6" bestFit="1" customWidth="1"/>
    <col min="41" max="41" width="21.5703125" style="6" bestFit="1" customWidth="1"/>
    <col min="42" max="42" width="19.140625" style="6" bestFit="1" customWidth="1"/>
    <col min="43" max="44" width="19.140625" style="6" customWidth="1"/>
    <col min="45" max="45" width="22.140625" style="6" bestFit="1" customWidth="1"/>
    <col min="46" max="52" width="15.42578125" style="6" customWidth="1"/>
    <col min="53" max="53" width="15.85546875" style="6" bestFit="1" customWidth="1"/>
    <col min="54" max="54" width="18.85546875" style="6" bestFit="1" customWidth="1"/>
    <col min="55" max="55" width="16.5703125" style="6" bestFit="1" customWidth="1"/>
    <col min="56" max="57" width="16.5703125" style="6" customWidth="1"/>
    <col min="58" max="58" width="19.42578125" style="6" bestFit="1" customWidth="1"/>
    <col min="59" max="16384" width="10.7109375" style="6"/>
  </cols>
  <sheetData>
    <row r="1" spans="2:58" s="3" customFormat="1" ht="18.75" customHeight="1" x14ac:dyDescent="0.25">
      <c r="B1" s="2"/>
      <c r="D1" s="1" t="s">
        <v>18</v>
      </c>
      <c r="E1" s="4"/>
      <c r="F1" s="4"/>
      <c r="G1" s="4"/>
      <c r="H1" s="4"/>
      <c r="I1" s="4"/>
      <c r="J1" s="4"/>
      <c r="Y1" s="42"/>
      <c r="Z1" s="42"/>
    </row>
    <row r="2" spans="2:58" s="3" customFormat="1" ht="18.75" customHeight="1" x14ac:dyDescent="0.25">
      <c r="B2" s="2"/>
      <c r="D2" s="1" t="s">
        <v>19</v>
      </c>
      <c r="E2" s="4"/>
      <c r="F2" s="4"/>
      <c r="G2" s="4"/>
      <c r="H2" s="4"/>
      <c r="I2" s="4"/>
      <c r="J2" s="4"/>
      <c r="Y2" s="42"/>
      <c r="Z2" s="42"/>
    </row>
    <row r="3" spans="2:58" s="3" customFormat="1" ht="18.75" customHeight="1" x14ac:dyDescent="0.25">
      <c r="B3" s="2"/>
      <c r="D3" s="1" t="s">
        <v>20</v>
      </c>
      <c r="E3" s="4"/>
      <c r="F3" s="4"/>
      <c r="G3" s="4"/>
      <c r="H3" s="4"/>
      <c r="I3" s="4"/>
      <c r="J3" s="4"/>
      <c r="Y3" s="42"/>
      <c r="Z3" s="42"/>
    </row>
    <row r="4" spans="2:58" s="3" customFormat="1" ht="18.75" customHeight="1" x14ac:dyDescent="0.3">
      <c r="B4" s="2"/>
      <c r="D4" s="5" t="s">
        <v>100</v>
      </c>
      <c r="E4" s="4"/>
      <c r="F4" s="4"/>
      <c r="G4" s="4"/>
      <c r="H4" s="4"/>
      <c r="I4" s="4"/>
      <c r="J4" s="4"/>
      <c r="Y4" s="42"/>
      <c r="Z4" s="42"/>
    </row>
    <row r="5" spans="2:58" s="3" customFormat="1" ht="18.75" customHeight="1" thickBot="1" x14ac:dyDescent="0.35">
      <c r="B5" s="2"/>
      <c r="D5" s="5"/>
      <c r="E5" s="4"/>
      <c r="F5" s="4"/>
      <c r="G5" s="4"/>
      <c r="H5" s="4"/>
      <c r="I5" s="4"/>
      <c r="J5" s="4"/>
      <c r="Y5" s="42"/>
      <c r="Z5" s="42"/>
    </row>
    <row r="6" spans="2:58" ht="12" thickBot="1" x14ac:dyDescent="0.25">
      <c r="D6" s="7"/>
      <c r="E6" s="86">
        <v>2005</v>
      </c>
      <c r="F6" s="89"/>
      <c r="G6" s="86">
        <v>2006</v>
      </c>
      <c r="H6" s="89"/>
      <c r="I6" s="86">
        <v>2007</v>
      </c>
      <c r="J6" s="89"/>
      <c r="K6" s="86">
        <v>2008</v>
      </c>
      <c r="L6" s="89"/>
      <c r="M6" s="86">
        <v>2009</v>
      </c>
      <c r="N6" s="89"/>
      <c r="O6" s="86">
        <v>2010</v>
      </c>
      <c r="P6" s="89"/>
      <c r="Q6" s="86">
        <v>2011</v>
      </c>
      <c r="R6" s="89"/>
      <c r="S6" s="86">
        <v>2012</v>
      </c>
      <c r="T6" s="89"/>
      <c r="U6" s="86">
        <v>2013</v>
      </c>
      <c r="V6" s="89"/>
      <c r="W6" s="86">
        <v>2014</v>
      </c>
      <c r="X6" s="89"/>
      <c r="Y6" s="93">
        <v>2015</v>
      </c>
      <c r="Z6" s="87"/>
      <c r="AA6" s="86">
        <v>2016</v>
      </c>
      <c r="AB6" s="87"/>
      <c r="AC6" s="86">
        <v>2017</v>
      </c>
      <c r="AD6" s="87"/>
      <c r="AE6" s="86">
        <v>2018</v>
      </c>
      <c r="AF6" s="87"/>
      <c r="AG6" s="86" t="s">
        <v>98</v>
      </c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7"/>
    </row>
    <row r="7" spans="2:58" s="9" customFormat="1" ht="12" thickBot="1" x14ac:dyDescent="0.25">
      <c r="B7" s="90" t="s">
        <v>21</v>
      </c>
      <c r="C7" s="91"/>
      <c r="D7" s="92"/>
      <c r="E7" s="8" t="s">
        <v>22</v>
      </c>
      <c r="F7" s="8" t="s">
        <v>23</v>
      </c>
      <c r="G7" s="8" t="s">
        <v>22</v>
      </c>
      <c r="H7" s="8" t="s">
        <v>23</v>
      </c>
      <c r="I7" s="8" t="s">
        <v>22</v>
      </c>
      <c r="J7" s="8" t="s">
        <v>23</v>
      </c>
      <c r="K7" s="8" t="s">
        <v>22</v>
      </c>
      <c r="L7" s="8" t="s">
        <v>23</v>
      </c>
      <c r="M7" s="8" t="s">
        <v>22</v>
      </c>
      <c r="N7" s="8" t="s">
        <v>23</v>
      </c>
      <c r="O7" s="8" t="s">
        <v>22</v>
      </c>
      <c r="P7" s="8" t="s">
        <v>23</v>
      </c>
      <c r="Q7" s="8" t="s">
        <v>22</v>
      </c>
      <c r="R7" s="8" t="s">
        <v>23</v>
      </c>
      <c r="S7" s="8" t="s">
        <v>22</v>
      </c>
      <c r="T7" s="8" t="s">
        <v>65</v>
      </c>
      <c r="U7" s="8" t="s">
        <v>22</v>
      </c>
      <c r="V7" s="8" t="s">
        <v>65</v>
      </c>
      <c r="W7" s="8" t="s">
        <v>22</v>
      </c>
      <c r="X7" s="8" t="s">
        <v>65</v>
      </c>
      <c r="Y7" s="46" t="s">
        <v>22</v>
      </c>
      <c r="Z7" s="46" t="s">
        <v>65</v>
      </c>
      <c r="AA7" s="46" t="s">
        <v>22</v>
      </c>
      <c r="AB7" s="46" t="s">
        <v>65</v>
      </c>
      <c r="AC7" s="46" t="s">
        <v>22</v>
      </c>
      <c r="AD7" s="46" t="s">
        <v>65</v>
      </c>
      <c r="AE7" s="46" t="s">
        <v>22</v>
      </c>
      <c r="AF7" s="46" t="s">
        <v>65</v>
      </c>
      <c r="AG7" s="54" t="s">
        <v>104</v>
      </c>
      <c r="AH7" s="60" t="s">
        <v>105</v>
      </c>
      <c r="AI7" s="66" t="s">
        <v>106</v>
      </c>
      <c r="AJ7" s="60" t="s">
        <v>107</v>
      </c>
      <c r="AK7" s="60" t="s">
        <v>115</v>
      </c>
      <c r="AL7" s="72" t="s">
        <v>116</v>
      </c>
      <c r="AM7" s="60" t="s">
        <v>118</v>
      </c>
      <c r="AN7" s="60" t="s">
        <v>121</v>
      </c>
      <c r="AO7" s="60" t="s">
        <v>124</v>
      </c>
      <c r="AP7" s="60" t="s">
        <v>128</v>
      </c>
      <c r="AQ7" s="60" t="s">
        <v>130</v>
      </c>
      <c r="AR7" s="60" t="s">
        <v>132</v>
      </c>
      <c r="AS7" s="73" t="s">
        <v>108</v>
      </c>
      <c r="AT7" s="54" t="s">
        <v>109</v>
      </c>
      <c r="AU7" s="60" t="s">
        <v>110</v>
      </c>
      <c r="AV7" s="66" t="s">
        <v>111</v>
      </c>
      <c r="AW7" s="60" t="s">
        <v>112</v>
      </c>
      <c r="AX7" s="60" t="s">
        <v>114</v>
      </c>
      <c r="AY7" s="72" t="s">
        <v>117</v>
      </c>
      <c r="AZ7" s="72" t="s">
        <v>119</v>
      </c>
      <c r="BA7" s="72" t="s">
        <v>120</v>
      </c>
      <c r="BB7" s="72" t="s">
        <v>125</v>
      </c>
      <c r="BC7" s="72" t="s">
        <v>127</v>
      </c>
      <c r="BD7" s="72" t="s">
        <v>131</v>
      </c>
      <c r="BE7" s="72" t="s">
        <v>133</v>
      </c>
      <c r="BF7" s="60" t="s">
        <v>113</v>
      </c>
    </row>
    <row r="8" spans="2:58" s="14" customFormat="1" ht="6.75" customHeight="1" x14ac:dyDescent="0.2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3"/>
      <c r="Z8" s="43"/>
      <c r="AA8" s="43"/>
      <c r="AB8" s="43"/>
      <c r="AC8" s="48"/>
      <c r="AD8" s="48"/>
      <c r="AE8" s="48"/>
      <c r="AF8" s="48"/>
      <c r="AG8" s="55"/>
      <c r="AH8" s="61"/>
      <c r="AI8" s="67"/>
      <c r="AJ8" s="61"/>
      <c r="AK8" s="61"/>
      <c r="AL8" s="67"/>
      <c r="AM8" s="61"/>
      <c r="AN8" s="80"/>
      <c r="AO8" s="80"/>
      <c r="AP8" s="80"/>
      <c r="AQ8" s="80"/>
      <c r="AR8" s="80"/>
      <c r="AS8" s="74"/>
      <c r="AT8" s="55"/>
      <c r="AU8" s="61"/>
      <c r="AV8" s="67"/>
      <c r="AW8" s="61"/>
      <c r="AX8" s="61"/>
      <c r="AY8" s="67"/>
      <c r="AZ8" s="61"/>
      <c r="BA8" s="80"/>
      <c r="BB8" s="80"/>
      <c r="BC8" s="80"/>
      <c r="BD8" s="80"/>
      <c r="BE8" s="80"/>
      <c r="BF8" s="74"/>
    </row>
    <row r="9" spans="2:58" s="14" customFormat="1" ht="12" customHeight="1" x14ac:dyDescent="0.2">
      <c r="B9" s="15" t="s">
        <v>24</v>
      </c>
      <c r="C9" s="16"/>
      <c r="D9" s="17"/>
      <c r="E9" s="18">
        <f>+E11+E16+E26+E49+E53+E56</f>
        <v>405632075</v>
      </c>
      <c r="F9" s="19">
        <f>SUM(F11+F16+F26+F49+F53)</f>
        <v>112174618.01000001</v>
      </c>
      <c r="G9" s="18">
        <f>+G11+G16+G26+G49+G53+G56</f>
        <v>485376450</v>
      </c>
      <c r="H9" s="19">
        <f>SUM(H11+H16+H26+H49+H53)</f>
        <v>125823357</v>
      </c>
      <c r="I9" s="18">
        <f>+I11+I16+I26+I49+I53+I56</f>
        <v>527486494.82999998</v>
      </c>
      <c r="J9" s="19">
        <f>SUM(J11+J16+J26+J49+J53)</f>
        <v>151421564.73999998</v>
      </c>
      <c r="K9" s="18">
        <f>+K11+K16+K26+K49+K53+K56</f>
        <v>598002192.87944055</v>
      </c>
      <c r="L9" s="19">
        <f>SUM(L11+L16+L26+L49+L53)</f>
        <v>179656298.01853201</v>
      </c>
      <c r="M9" s="18">
        <f>+M11+M16+M26+M49+M53+M56</f>
        <v>624833349.2875334</v>
      </c>
      <c r="N9" s="19">
        <f>SUM(N11+N16+N26+N49+N53)</f>
        <v>190861820.10031033</v>
      </c>
      <c r="O9" s="18">
        <f t="shared" ref="O9:Z9" si="0">+O11+O16+O23+O26+O49+O53+O56</f>
        <v>613976934.73899996</v>
      </c>
      <c r="P9" s="19">
        <f t="shared" si="0"/>
        <v>126633382.34</v>
      </c>
      <c r="Q9" s="18">
        <f t="shared" si="0"/>
        <v>47442780.881201595</v>
      </c>
      <c r="R9" s="19">
        <f t="shared" si="0"/>
        <v>17255829.59386088</v>
      </c>
      <c r="S9" s="18">
        <f t="shared" si="0"/>
        <v>94608547.782693893</v>
      </c>
      <c r="T9" s="19">
        <f t="shared" si="0"/>
        <v>19240839.075241663</v>
      </c>
      <c r="U9" s="19">
        <f t="shared" si="0"/>
        <v>67378937.518019721</v>
      </c>
      <c r="V9" s="19">
        <f t="shared" si="0"/>
        <v>15009591.483077697</v>
      </c>
      <c r="W9" s="19">
        <f t="shared" si="0"/>
        <v>395318410.13940549</v>
      </c>
      <c r="X9" s="19">
        <f t="shared" si="0"/>
        <v>338022074.10892069</v>
      </c>
      <c r="Y9" s="19">
        <f>+Y11+Y16+Y23+Y26+Y49+Y53+Y56</f>
        <v>373264305.75115126</v>
      </c>
      <c r="Z9" s="19">
        <f t="shared" si="0"/>
        <v>331896373.0000627</v>
      </c>
      <c r="AA9" s="19">
        <f>+AA11+AA16+AA23+AA26+AA49+AA53+AA56</f>
        <v>330996324.9879598</v>
      </c>
      <c r="AB9" s="19">
        <f t="shared" ref="AB9" si="1">+AB11+AB16+AB23+AB26+AB49+AB53+AB56</f>
        <v>369804276.59712911</v>
      </c>
      <c r="AC9" s="49">
        <v>141344273.5572646</v>
      </c>
      <c r="AD9" s="49">
        <v>75916511.340916947</v>
      </c>
      <c r="AE9" s="49">
        <v>310425067.48120964</v>
      </c>
      <c r="AF9" s="49">
        <v>637897053.35810959</v>
      </c>
      <c r="AG9" s="56">
        <v>23346639.129999999</v>
      </c>
      <c r="AH9" s="62">
        <v>23417461.259999998</v>
      </c>
      <c r="AI9" s="68">
        <v>98994785.179999992</v>
      </c>
      <c r="AJ9" s="62">
        <v>89599259.479999989</v>
      </c>
      <c r="AK9" s="62">
        <v>89657687.199999988</v>
      </c>
      <c r="AL9" s="68">
        <v>100097097.29359999</v>
      </c>
      <c r="AM9" s="62">
        <v>89776214.769999996</v>
      </c>
      <c r="AN9" s="81">
        <v>89816107.579999998</v>
      </c>
      <c r="AO9" s="81">
        <v>109699695.61479999</v>
      </c>
      <c r="AP9" s="81">
        <v>96267482.030000001</v>
      </c>
      <c r="AQ9" s="81">
        <v>96416100.75999999</v>
      </c>
      <c r="AR9" s="81">
        <v>159455048.65735999</v>
      </c>
      <c r="AS9" s="75">
        <v>1066543578.9628488</v>
      </c>
      <c r="AT9" s="56">
        <v>140346225.92000002</v>
      </c>
      <c r="AU9" s="62">
        <v>111253396.72999999</v>
      </c>
      <c r="AV9" s="68">
        <v>103312011.61000001</v>
      </c>
      <c r="AW9" s="62">
        <v>127806441.41999999</v>
      </c>
      <c r="AX9" s="62">
        <v>136844213.22999999</v>
      </c>
      <c r="AY9" s="68">
        <v>134201134.8444</v>
      </c>
      <c r="AZ9" s="62">
        <v>134069840.86000001</v>
      </c>
      <c r="BA9" s="81">
        <v>125988740.12</v>
      </c>
      <c r="BB9" s="81">
        <v>155635698.56759998</v>
      </c>
      <c r="BC9" s="81">
        <v>152113404.26999998</v>
      </c>
      <c r="BD9" s="81">
        <v>126122114.35999998</v>
      </c>
      <c r="BE9" s="81">
        <v>125589936.37063999</v>
      </c>
      <c r="BF9" s="75">
        <v>1573283158.18624</v>
      </c>
    </row>
    <row r="10" spans="2:58" s="14" customFormat="1" ht="6.75" customHeight="1" outlineLevel="1" x14ac:dyDescent="0.2">
      <c r="B10" s="20"/>
      <c r="C10" s="16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/>
      <c r="V10" s="38"/>
      <c r="W10" s="38"/>
      <c r="X10" s="38"/>
      <c r="Y10" s="19"/>
      <c r="Z10" s="19"/>
      <c r="AA10" s="19"/>
      <c r="AB10" s="19"/>
      <c r="AC10" s="49"/>
      <c r="AD10" s="49"/>
      <c r="AE10" s="49"/>
      <c r="AF10" s="49"/>
      <c r="AG10" s="56"/>
      <c r="AH10" s="62"/>
      <c r="AI10" s="68"/>
      <c r="AJ10" s="62"/>
      <c r="AK10" s="62"/>
      <c r="AL10" s="68"/>
      <c r="AM10" s="62"/>
      <c r="AN10" s="81"/>
      <c r="AO10" s="81"/>
      <c r="AP10" s="81"/>
      <c r="AQ10" s="81"/>
      <c r="AR10" s="81"/>
      <c r="AS10" s="75"/>
      <c r="AT10" s="56"/>
      <c r="AU10" s="62"/>
      <c r="AV10" s="68"/>
      <c r="AW10" s="62"/>
      <c r="AX10" s="62"/>
      <c r="AY10" s="68"/>
      <c r="AZ10" s="62"/>
      <c r="BA10" s="81"/>
      <c r="BB10" s="81"/>
      <c r="BC10" s="81"/>
      <c r="BD10" s="81"/>
      <c r="BE10" s="81"/>
      <c r="BF10" s="75"/>
    </row>
    <row r="11" spans="2:58" s="25" customFormat="1" ht="12" customHeight="1" outlineLevel="1" x14ac:dyDescent="0.2">
      <c r="B11" s="22"/>
      <c r="C11" s="23" t="s">
        <v>25</v>
      </c>
      <c r="D11" s="24"/>
      <c r="E11" s="18">
        <f>SUM(E12:E15)</f>
        <v>1371073</v>
      </c>
      <c r="F11" s="18">
        <f>SUM(F12:F13)</f>
        <v>2120747</v>
      </c>
      <c r="G11" s="18">
        <f>SUM(G12:G15)</f>
        <v>4387622</v>
      </c>
      <c r="H11" s="18">
        <f>SUM(H12:H13)</f>
        <v>2574361</v>
      </c>
      <c r="I11" s="18">
        <f>SUM(I12:I15)</f>
        <v>4696847</v>
      </c>
      <c r="J11" s="18">
        <f>SUM(J12:J13)</f>
        <v>3341218.8699999996</v>
      </c>
      <c r="K11" s="18">
        <f>SUM(K12:K15)</f>
        <v>4569492.9000000004</v>
      </c>
      <c r="L11" s="18">
        <f>SUM(L12:L13)</f>
        <v>6523255.7799999993</v>
      </c>
      <c r="M11" s="18">
        <f>SUM(M12:M15)</f>
        <v>5145014.24</v>
      </c>
      <c r="N11" s="18">
        <f>SUM(N12:N13)</f>
        <v>5745961.1699999999</v>
      </c>
      <c r="O11" s="18">
        <f>SUM(O12:O15)</f>
        <v>6231056.54</v>
      </c>
      <c r="P11" s="18">
        <f>SUM(P12:P13)</f>
        <v>5842286.7999999998</v>
      </c>
      <c r="Q11" s="18">
        <f>SUM(Q12:Q15)</f>
        <v>6897379.6199515862</v>
      </c>
      <c r="R11" s="18">
        <f>SUM(R12:R13)</f>
        <v>5942726.1637677411</v>
      </c>
      <c r="S11" s="18">
        <f>SUM(S12:S15)</f>
        <v>8106213.1912896242</v>
      </c>
      <c r="T11" s="18">
        <f t="shared" ref="T11:Z11" si="2">SUM(T12:T14)</f>
        <v>6294648.5252574505</v>
      </c>
      <c r="U11" s="18">
        <f t="shared" si="2"/>
        <v>9312677.1873963438</v>
      </c>
      <c r="V11" s="18">
        <f t="shared" si="2"/>
        <v>5907566.5933492128</v>
      </c>
      <c r="W11" s="18">
        <f t="shared" si="2"/>
        <v>12298858.67</v>
      </c>
      <c r="X11" s="18">
        <f t="shared" si="2"/>
        <v>7229654.1534111574</v>
      </c>
      <c r="Y11" s="19">
        <f t="shared" si="2"/>
        <v>15682445.815277219</v>
      </c>
      <c r="Z11" s="19">
        <f t="shared" si="2"/>
        <v>4573716.3136977637</v>
      </c>
      <c r="AA11" s="19">
        <f>SUM(AA12:AA14)</f>
        <v>19282345.039148867</v>
      </c>
      <c r="AB11" s="19">
        <f>SUM(AB12:AB14)</f>
        <v>3892368.6385307778</v>
      </c>
      <c r="AC11" s="49">
        <v>19441914.977264605</v>
      </c>
      <c r="AD11" s="49">
        <v>771532.37645965733</v>
      </c>
      <c r="AE11" s="49">
        <v>2477189.4978431496</v>
      </c>
      <c r="AF11" s="49">
        <v>9521.3337191656119</v>
      </c>
      <c r="AG11" s="56">
        <v>0</v>
      </c>
      <c r="AH11" s="62">
        <v>0</v>
      </c>
      <c r="AI11" s="68">
        <v>0</v>
      </c>
      <c r="AJ11" s="62">
        <v>0</v>
      </c>
      <c r="AK11" s="62">
        <v>0</v>
      </c>
      <c r="AL11" s="68">
        <v>0</v>
      </c>
      <c r="AM11" s="62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75">
        <v>0</v>
      </c>
      <c r="AT11" s="56">
        <v>0</v>
      </c>
      <c r="AU11" s="62">
        <v>0</v>
      </c>
      <c r="AV11" s="68">
        <v>0</v>
      </c>
      <c r="AW11" s="62">
        <v>0</v>
      </c>
      <c r="AX11" s="62">
        <v>0</v>
      </c>
      <c r="AY11" s="68">
        <v>0</v>
      </c>
      <c r="AZ11" s="62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75">
        <v>0</v>
      </c>
    </row>
    <row r="12" spans="2:58" s="25" customFormat="1" ht="12" customHeight="1" outlineLevel="2" x14ac:dyDescent="0.2">
      <c r="B12" s="22"/>
      <c r="C12" s="23"/>
      <c r="D12" s="26" t="s">
        <v>84</v>
      </c>
      <c r="E12" s="27">
        <v>0</v>
      </c>
      <c r="F12" s="27">
        <v>0</v>
      </c>
      <c r="G12" s="27">
        <v>2089524</v>
      </c>
      <c r="H12" s="27">
        <f>2322+831462</f>
        <v>833784</v>
      </c>
      <c r="I12" s="27">
        <v>1297784</v>
      </c>
      <c r="J12" s="27">
        <f>481078.85+3604.49</f>
        <v>484683.33999999997</v>
      </c>
      <c r="K12" s="27">
        <v>1411300.63</v>
      </c>
      <c r="L12" s="27">
        <v>499565.77</v>
      </c>
      <c r="M12" s="27">
        <v>1500166.37</v>
      </c>
      <c r="N12" s="27">
        <v>498559.9</v>
      </c>
      <c r="O12" s="27">
        <v>2340187.96</v>
      </c>
      <c r="P12" s="27">
        <v>512709.63</v>
      </c>
      <c r="Q12" s="27">
        <v>2719141.873323082</v>
      </c>
      <c r="R12" s="27">
        <v>505871.00802792667</v>
      </c>
      <c r="S12" s="27">
        <v>2986523.1511388938</v>
      </c>
      <c r="T12" s="27">
        <v>497321.26550649072</v>
      </c>
      <c r="U12" s="27">
        <v>3303092.6999900416</v>
      </c>
      <c r="V12" s="27">
        <v>483908.54388427502</v>
      </c>
      <c r="W12" s="27">
        <v>6048160.1699999999</v>
      </c>
      <c r="X12" s="27">
        <v>482358.93836470629</v>
      </c>
      <c r="Y12" s="21">
        <v>7524669.1418904355</v>
      </c>
      <c r="Z12" s="21">
        <v>417630.82643747237</v>
      </c>
      <c r="AA12" s="21">
        <v>9638226.7068515252</v>
      </c>
      <c r="AB12" s="21">
        <v>340563.81810327549</v>
      </c>
      <c r="AC12" s="50">
        <v>12196531.896477535</v>
      </c>
      <c r="AD12" s="50">
        <v>186363.5353018915</v>
      </c>
      <c r="AE12" s="50">
        <v>2477189.4978431496</v>
      </c>
      <c r="AF12" s="50">
        <v>9521.3337191656119</v>
      </c>
      <c r="AG12" s="57"/>
      <c r="AH12" s="63"/>
      <c r="AI12" s="69"/>
      <c r="AJ12" s="63"/>
      <c r="AK12" s="63"/>
      <c r="AL12" s="69"/>
      <c r="AM12" s="63"/>
      <c r="AN12" s="82"/>
      <c r="AO12" s="82"/>
      <c r="AP12" s="82"/>
      <c r="AQ12" s="82"/>
      <c r="AR12" s="82"/>
      <c r="AS12" s="76"/>
      <c r="AT12" s="57"/>
      <c r="AU12" s="63"/>
      <c r="AV12" s="69"/>
      <c r="AW12" s="63"/>
      <c r="AX12" s="63"/>
      <c r="AY12" s="69"/>
      <c r="AZ12" s="63"/>
      <c r="BA12" s="82"/>
      <c r="BB12" s="82"/>
      <c r="BC12" s="82"/>
      <c r="BD12" s="82"/>
      <c r="BE12" s="82"/>
      <c r="BF12" s="76"/>
    </row>
    <row r="13" spans="2:58" s="25" customFormat="1" ht="12" customHeight="1" outlineLevel="2" x14ac:dyDescent="0.2">
      <c r="B13" s="22"/>
      <c r="C13" s="23"/>
      <c r="D13" s="26" t="s">
        <v>26</v>
      </c>
      <c r="E13" s="27">
        <v>1371073</v>
      </c>
      <c r="F13" s="27">
        <v>2120747</v>
      </c>
      <c r="G13" s="27">
        <v>2298098</v>
      </c>
      <c r="H13" s="27">
        <v>1740577</v>
      </c>
      <c r="I13" s="27">
        <v>3399063</v>
      </c>
      <c r="J13" s="27">
        <v>2856535.53</v>
      </c>
      <c r="K13" s="27">
        <v>3158192.27</v>
      </c>
      <c r="L13" s="27">
        <v>6023690.0099999998</v>
      </c>
      <c r="M13" s="27">
        <v>3644847.87</v>
      </c>
      <c r="N13" s="27">
        <v>5247401.2699999996</v>
      </c>
      <c r="O13" s="27">
        <v>3890868.58</v>
      </c>
      <c r="P13" s="27">
        <v>5329577.17</v>
      </c>
      <c r="Q13" s="27">
        <v>4178237.7466285042</v>
      </c>
      <c r="R13" s="27">
        <v>5436855.155739814</v>
      </c>
      <c r="S13" s="27">
        <v>4671541.6901507312</v>
      </c>
      <c r="T13" s="27">
        <v>5138707.7013469534</v>
      </c>
      <c r="U13" s="27">
        <v>5338124.03</v>
      </c>
      <c r="V13" s="27">
        <v>4543769.6570552262</v>
      </c>
      <c r="W13" s="27">
        <v>5476083.2599999998</v>
      </c>
      <c r="X13" s="27">
        <v>5820683.8986516213</v>
      </c>
      <c r="Y13" s="21">
        <v>7118990.3544647601</v>
      </c>
      <c r="Z13" s="21">
        <v>3530024.35781834</v>
      </c>
      <c r="AA13" s="21">
        <v>8300779.6313598733</v>
      </c>
      <c r="AB13" s="21">
        <v>3157832.5113739823</v>
      </c>
      <c r="AC13" s="50">
        <v>6835759.1894791229</v>
      </c>
      <c r="AD13" s="50">
        <v>567730.22582980583</v>
      </c>
      <c r="AE13" s="50"/>
      <c r="AF13" s="50"/>
      <c r="AG13" s="57"/>
      <c r="AH13" s="63"/>
      <c r="AI13" s="69"/>
      <c r="AJ13" s="63"/>
      <c r="AK13" s="63"/>
      <c r="AL13" s="69"/>
      <c r="AM13" s="63"/>
      <c r="AN13" s="82"/>
      <c r="AO13" s="82"/>
      <c r="AP13" s="82"/>
      <c r="AQ13" s="82"/>
      <c r="AR13" s="82"/>
      <c r="AS13" s="76"/>
      <c r="AT13" s="57"/>
      <c r="AU13" s="63"/>
      <c r="AV13" s="69"/>
      <c r="AW13" s="63"/>
      <c r="AX13" s="63"/>
      <c r="AY13" s="69"/>
      <c r="AZ13" s="63"/>
      <c r="BA13" s="82"/>
      <c r="BB13" s="82"/>
      <c r="BC13" s="82"/>
      <c r="BD13" s="82"/>
      <c r="BE13" s="82"/>
      <c r="BF13" s="76"/>
    </row>
    <row r="14" spans="2:58" s="25" customFormat="1" ht="12" customHeight="1" outlineLevel="2" x14ac:dyDescent="0.2">
      <c r="B14" s="22"/>
      <c r="C14" s="23"/>
      <c r="D14" s="26" t="s">
        <v>67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448148.35</v>
      </c>
      <c r="T14" s="27">
        <v>658619.55840400595</v>
      </c>
      <c r="U14" s="27">
        <v>671460.45740630059</v>
      </c>
      <c r="V14" s="27">
        <v>879888.39240971231</v>
      </c>
      <c r="W14" s="27">
        <v>774615.24</v>
      </c>
      <c r="X14" s="27">
        <v>926611.31639482977</v>
      </c>
      <c r="Y14" s="21">
        <v>1038786.3189220234</v>
      </c>
      <c r="Z14" s="21">
        <v>626061.12944195105</v>
      </c>
      <c r="AA14" s="21">
        <v>1343338.7009374667</v>
      </c>
      <c r="AB14" s="21">
        <v>393972.30905351951</v>
      </c>
      <c r="AC14" s="50">
        <v>409623.89130794769</v>
      </c>
      <c r="AD14" s="50">
        <v>17438.615327959989</v>
      </c>
      <c r="AE14" s="50"/>
      <c r="AF14" s="50"/>
      <c r="AG14" s="57"/>
      <c r="AH14" s="63"/>
      <c r="AI14" s="69"/>
      <c r="AJ14" s="63"/>
      <c r="AK14" s="63"/>
      <c r="AL14" s="69"/>
      <c r="AM14" s="63"/>
      <c r="AN14" s="82"/>
      <c r="AO14" s="82"/>
      <c r="AP14" s="82"/>
      <c r="AQ14" s="82"/>
      <c r="AR14" s="82"/>
      <c r="AS14" s="76"/>
      <c r="AT14" s="57"/>
      <c r="AU14" s="63"/>
      <c r="AV14" s="69"/>
      <c r="AW14" s="63"/>
      <c r="AX14" s="63"/>
      <c r="AY14" s="69"/>
      <c r="AZ14" s="63"/>
      <c r="BA14" s="82"/>
      <c r="BB14" s="82"/>
      <c r="BC14" s="82"/>
      <c r="BD14" s="82"/>
      <c r="BE14" s="82"/>
      <c r="BF14" s="76"/>
    </row>
    <row r="15" spans="2:58" s="14" customFormat="1" ht="6.75" customHeight="1" outlineLevel="1" x14ac:dyDescent="0.2">
      <c r="B15" s="28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19"/>
      <c r="Z15" s="19"/>
      <c r="AA15" s="19"/>
      <c r="AB15" s="19"/>
      <c r="AC15" s="49"/>
      <c r="AD15" s="49"/>
      <c r="AE15" s="49"/>
      <c r="AF15" s="49"/>
      <c r="AG15" s="56"/>
      <c r="AH15" s="62"/>
      <c r="AI15" s="68"/>
      <c r="AJ15" s="62"/>
      <c r="AK15" s="62"/>
      <c r="AL15" s="68"/>
      <c r="AM15" s="62"/>
      <c r="AN15" s="81"/>
      <c r="AO15" s="81"/>
      <c r="AP15" s="81"/>
      <c r="AQ15" s="81"/>
      <c r="AR15" s="81"/>
      <c r="AS15" s="75"/>
      <c r="AT15" s="56"/>
      <c r="AU15" s="62"/>
      <c r="AV15" s="68"/>
      <c r="AW15" s="62"/>
      <c r="AX15" s="62"/>
      <c r="AY15" s="68"/>
      <c r="AZ15" s="62"/>
      <c r="BA15" s="81"/>
      <c r="BB15" s="81"/>
      <c r="BC15" s="81"/>
      <c r="BD15" s="81"/>
      <c r="BE15" s="81"/>
      <c r="BF15" s="75"/>
    </row>
    <row r="16" spans="2:58" s="25" customFormat="1" ht="12" customHeight="1" outlineLevel="1" x14ac:dyDescent="0.2">
      <c r="B16" s="22"/>
      <c r="C16" s="23" t="s">
        <v>27</v>
      </c>
      <c r="D16" s="24"/>
      <c r="E16" s="18">
        <f t="shared" ref="E16:P16" si="3">SUM(E17:E21)</f>
        <v>11017167.51</v>
      </c>
      <c r="F16" s="18">
        <f t="shared" si="3"/>
        <v>7143117.3700000001</v>
      </c>
      <c r="G16" s="18">
        <f t="shared" si="3"/>
        <v>4222091</v>
      </c>
      <c r="H16" s="18">
        <f t="shared" si="3"/>
        <v>2565749</v>
      </c>
      <c r="I16" s="18">
        <f t="shared" si="3"/>
        <v>4283715.1399999997</v>
      </c>
      <c r="J16" s="18">
        <f t="shared" si="3"/>
        <v>2167634.02</v>
      </c>
      <c r="K16" s="18">
        <f t="shared" si="3"/>
        <v>4327618.486734896</v>
      </c>
      <c r="L16" s="18">
        <f t="shared" si="3"/>
        <v>1751677.3879446373</v>
      </c>
      <c r="M16" s="18">
        <f t="shared" si="3"/>
        <v>6050258.1275334004</v>
      </c>
      <c r="N16" s="18">
        <f t="shared" si="3"/>
        <v>4286397.3103103256</v>
      </c>
      <c r="O16" s="18">
        <f t="shared" si="3"/>
        <v>4648417.0599999996</v>
      </c>
      <c r="P16" s="18">
        <f t="shared" si="3"/>
        <v>30774574.280000001</v>
      </c>
      <c r="Q16" s="18">
        <f t="shared" ref="Q16:V16" si="4">SUM(Q17:Q21)</f>
        <v>4805480.1512500001</v>
      </c>
      <c r="R16" s="18">
        <f t="shared" si="4"/>
        <v>3424341.743986696</v>
      </c>
      <c r="S16" s="18">
        <f t="shared" si="4"/>
        <v>3628236.4914042647</v>
      </c>
      <c r="T16" s="18">
        <f t="shared" si="4"/>
        <v>3422712.9863000005</v>
      </c>
      <c r="U16" s="18">
        <f t="shared" si="4"/>
        <v>4513844.974706714</v>
      </c>
      <c r="V16" s="18">
        <f t="shared" si="4"/>
        <v>3881683.8497284846</v>
      </c>
      <c r="W16" s="18">
        <f t="shared" ref="W16:Z16" si="5">SUM(W17:W21)</f>
        <v>6926344.0300000003</v>
      </c>
      <c r="X16" s="18">
        <f t="shared" si="5"/>
        <v>5312232.19582</v>
      </c>
      <c r="Y16" s="19">
        <f t="shared" si="5"/>
        <v>8410580.4900000002</v>
      </c>
      <c r="Z16" s="19">
        <f t="shared" si="5"/>
        <v>5815661.6611112254</v>
      </c>
      <c r="AA16" s="19">
        <f>SUM(AA17:AA21)</f>
        <v>11976206.330000002</v>
      </c>
      <c r="AB16" s="19">
        <f>SUM(AB17:AB21)</f>
        <v>8725636.7926000003</v>
      </c>
      <c r="AC16" s="49">
        <v>14188759.120000001</v>
      </c>
      <c r="AD16" s="49">
        <v>8143446.8887363952</v>
      </c>
      <c r="AE16" s="49">
        <v>28100297.450000003</v>
      </c>
      <c r="AF16" s="49">
        <v>14324443.794390405</v>
      </c>
      <c r="AG16" s="56">
        <v>0</v>
      </c>
      <c r="AH16" s="62">
        <v>0</v>
      </c>
      <c r="AI16" s="68">
        <v>9426109.1999999993</v>
      </c>
      <c r="AJ16" s="62">
        <v>0</v>
      </c>
      <c r="AK16" s="62">
        <v>0</v>
      </c>
      <c r="AL16" s="68">
        <v>10392164.0736</v>
      </c>
      <c r="AM16" s="62">
        <v>0</v>
      </c>
      <c r="AN16" s="81">
        <v>0</v>
      </c>
      <c r="AO16" s="81">
        <v>13701333.664799999</v>
      </c>
      <c r="AP16" s="81">
        <v>0</v>
      </c>
      <c r="AQ16" s="81">
        <v>0</v>
      </c>
      <c r="AR16" s="81">
        <v>14706946.157360001</v>
      </c>
      <c r="AS16" s="75">
        <v>48226553.095759995</v>
      </c>
      <c r="AT16" s="56">
        <v>0</v>
      </c>
      <c r="AU16" s="62">
        <v>0</v>
      </c>
      <c r="AV16" s="68">
        <v>4118482.4000000004</v>
      </c>
      <c r="AW16" s="62">
        <v>0</v>
      </c>
      <c r="AX16" s="62">
        <v>0</v>
      </c>
      <c r="AY16" s="68">
        <v>5366690.3843999999</v>
      </c>
      <c r="AZ16" s="62">
        <v>0</v>
      </c>
      <c r="BA16" s="81">
        <v>0</v>
      </c>
      <c r="BB16" s="81">
        <v>4817211.4676000001</v>
      </c>
      <c r="BC16" s="81">
        <v>0</v>
      </c>
      <c r="BD16" s="81">
        <v>0</v>
      </c>
      <c r="BE16" s="81">
        <v>5469612.4006400006</v>
      </c>
      <c r="BF16" s="75">
        <v>19771996.656239998</v>
      </c>
    </row>
    <row r="17" spans="2:58" s="25" customFormat="1" ht="12" customHeight="1" outlineLevel="2" x14ac:dyDescent="0.2">
      <c r="B17" s="22"/>
      <c r="C17" s="23"/>
      <c r="D17" s="26" t="s">
        <v>7</v>
      </c>
      <c r="E17" s="27">
        <v>2867608</v>
      </c>
      <c r="F17" s="27">
        <v>863961</v>
      </c>
      <c r="G17" s="27">
        <v>456874</v>
      </c>
      <c r="H17" s="27">
        <v>253887</v>
      </c>
      <c r="I17" s="27">
        <v>489275</v>
      </c>
      <c r="J17" s="27">
        <v>203661</v>
      </c>
      <c r="K17" s="27">
        <v>488458.92</v>
      </c>
      <c r="L17" s="27">
        <v>150328.93</v>
      </c>
      <c r="M17" s="27">
        <v>759595.55</v>
      </c>
      <c r="N17" s="27">
        <v>2626613.04</v>
      </c>
      <c r="O17" s="27">
        <v>286508.61</v>
      </c>
      <c r="P17" s="27">
        <v>10838184.939871231</v>
      </c>
      <c r="Q17" s="27">
        <v>379725.85125000001</v>
      </c>
      <c r="R17" s="27">
        <v>252879.67274999997</v>
      </c>
      <c r="S17" s="27">
        <v>476263.28096</v>
      </c>
      <c r="T17" s="27">
        <v>222981.6005</v>
      </c>
      <c r="U17" s="27">
        <v>654893.88</v>
      </c>
      <c r="V17" s="27">
        <v>193070.33666</v>
      </c>
      <c r="W17" s="27">
        <v>946509.63</v>
      </c>
      <c r="X17" s="27">
        <v>171724.43177999998</v>
      </c>
      <c r="Y17" s="21">
        <v>688785.68</v>
      </c>
      <c r="Z17" s="21">
        <v>62476.994019999998</v>
      </c>
      <c r="AA17" s="21">
        <v>130505.67000000001</v>
      </c>
      <c r="AB17" s="21">
        <v>11869.7857</v>
      </c>
      <c r="AC17" s="50"/>
      <c r="AD17" s="50"/>
      <c r="AE17" s="50"/>
      <c r="AF17" s="50"/>
      <c r="AG17" s="57"/>
      <c r="AH17" s="63"/>
      <c r="AI17" s="69"/>
      <c r="AJ17" s="63"/>
      <c r="AK17" s="63"/>
      <c r="AL17" s="69"/>
      <c r="AM17" s="63"/>
      <c r="AN17" s="82"/>
      <c r="AO17" s="82"/>
      <c r="AP17" s="82"/>
      <c r="AQ17" s="82"/>
      <c r="AR17" s="82"/>
      <c r="AS17" s="76"/>
      <c r="AT17" s="57"/>
      <c r="AU17" s="63"/>
      <c r="AV17" s="69"/>
      <c r="AW17" s="63"/>
      <c r="AX17" s="63"/>
      <c r="AY17" s="69"/>
      <c r="AZ17" s="63"/>
      <c r="BA17" s="82"/>
      <c r="BB17" s="82"/>
      <c r="BC17" s="82"/>
      <c r="BD17" s="82"/>
      <c r="BE17" s="82"/>
      <c r="BF17" s="76"/>
    </row>
    <row r="18" spans="2:58" s="25" customFormat="1" ht="12" customHeight="1" outlineLevel="2" x14ac:dyDescent="0.2">
      <c r="B18" s="22"/>
      <c r="C18" s="23"/>
      <c r="D18" s="26" t="s">
        <v>69</v>
      </c>
      <c r="E18" s="27">
        <f>245633+179092+11026+2142.51</f>
        <v>437893.51</v>
      </c>
      <c r="F18" s="27">
        <f>518396+16975+205269+48527+13297+3344+1563.28+56745.25+111.84</f>
        <v>864228.37</v>
      </c>
      <c r="G18" s="27">
        <f>56541+2243+378542+22891</f>
        <v>460217</v>
      </c>
      <c r="H18" s="27">
        <f>193+3908+139765+51864+12966+397730+95321+25923+6481</f>
        <v>734151</v>
      </c>
      <c r="I18" s="27">
        <f>59422+403577+24057+2384.14</f>
        <v>489440.14</v>
      </c>
      <c r="J18" s="27">
        <f>49560+387351+24990+12390+92825+6247+76.19+3908.24+140405.9</f>
        <v>717753.33</v>
      </c>
      <c r="K18" s="27">
        <v>534160.00673489587</v>
      </c>
      <c r="L18" s="27">
        <v>684176.58794463752</v>
      </c>
      <c r="M18" s="27">
        <v>746015.48753340065</v>
      </c>
      <c r="N18" s="27">
        <v>768824.03031032544</v>
      </c>
      <c r="O18" s="27">
        <v>1449587.13</v>
      </c>
      <c r="P18" s="27">
        <v>19645588.020128768</v>
      </c>
      <c r="Q18" s="27">
        <v>2525596.94</v>
      </c>
      <c r="R18" s="27">
        <v>3078505.3112366963</v>
      </c>
      <c r="S18" s="27">
        <v>2983638.3304442647</v>
      </c>
      <c r="T18" s="27">
        <v>3203788.8258000002</v>
      </c>
      <c r="U18" s="27">
        <v>3858951.0947067142</v>
      </c>
      <c r="V18" s="27">
        <v>3688613.5130684846</v>
      </c>
      <c r="W18" s="27">
        <v>5979834.4000000004</v>
      </c>
      <c r="X18" s="27">
        <v>5140507.7640399998</v>
      </c>
      <c r="Y18" s="21">
        <v>7721794.8099999996</v>
      </c>
      <c r="Z18" s="21">
        <v>5753184.6670912253</v>
      </c>
      <c r="AA18" s="21">
        <v>11845700.660000002</v>
      </c>
      <c r="AB18" s="21">
        <v>8713767.0068999995</v>
      </c>
      <c r="AC18" s="50">
        <v>14188759.120000001</v>
      </c>
      <c r="AD18" s="50">
        <v>8143446.8887363952</v>
      </c>
      <c r="AE18" s="50">
        <v>28100297.450000003</v>
      </c>
      <c r="AF18" s="50">
        <v>14324443.794390405</v>
      </c>
      <c r="AG18" s="57">
        <v>0</v>
      </c>
      <c r="AH18" s="63">
        <v>0</v>
      </c>
      <c r="AI18" s="69">
        <v>9426109.1999999993</v>
      </c>
      <c r="AJ18" s="63">
        <v>0</v>
      </c>
      <c r="AK18" s="63">
        <v>0</v>
      </c>
      <c r="AL18" s="69">
        <v>10392164.0736</v>
      </c>
      <c r="AM18" s="63">
        <v>0</v>
      </c>
      <c r="AN18" s="82">
        <v>0</v>
      </c>
      <c r="AO18" s="82">
        <v>13701333.664799999</v>
      </c>
      <c r="AP18" s="82">
        <v>0</v>
      </c>
      <c r="AQ18" s="82">
        <v>0</v>
      </c>
      <c r="AR18" s="82">
        <v>14706946.157360001</v>
      </c>
      <c r="AS18" s="76">
        <v>48226553.095759995</v>
      </c>
      <c r="AT18" s="57">
        <v>0</v>
      </c>
      <c r="AU18" s="63">
        <v>0</v>
      </c>
      <c r="AV18" s="69">
        <v>4118482.4000000004</v>
      </c>
      <c r="AW18" s="63">
        <v>0</v>
      </c>
      <c r="AX18" s="63">
        <v>0</v>
      </c>
      <c r="AY18" s="69">
        <v>5366690.3843999999</v>
      </c>
      <c r="AZ18" s="63">
        <v>0</v>
      </c>
      <c r="BA18" s="82">
        <v>0</v>
      </c>
      <c r="BB18" s="82">
        <v>4817211.4676000001</v>
      </c>
      <c r="BC18" s="82">
        <v>0</v>
      </c>
      <c r="BD18" s="82">
        <v>0</v>
      </c>
      <c r="BE18" s="82">
        <v>5469612.4006400006</v>
      </c>
      <c r="BF18" s="76">
        <v>19771996.656239998</v>
      </c>
    </row>
    <row r="19" spans="2:58" s="25" customFormat="1" ht="12" customHeight="1" outlineLevel="2" x14ac:dyDescent="0.2">
      <c r="B19" s="22"/>
      <c r="C19" s="23"/>
      <c r="D19" s="26" t="s">
        <v>17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1">
        <v>0</v>
      </c>
      <c r="Z19" s="21"/>
      <c r="AA19" s="21">
        <v>0</v>
      </c>
      <c r="AB19" s="21"/>
      <c r="AC19" s="50"/>
      <c r="AD19" s="50"/>
      <c r="AE19" s="50"/>
      <c r="AF19" s="50"/>
      <c r="AG19" s="57"/>
      <c r="AH19" s="63"/>
      <c r="AI19" s="69"/>
      <c r="AJ19" s="63"/>
      <c r="AK19" s="63"/>
      <c r="AL19" s="69"/>
      <c r="AM19" s="63"/>
      <c r="AN19" s="82"/>
      <c r="AO19" s="82"/>
      <c r="AP19" s="82"/>
      <c r="AQ19" s="82"/>
      <c r="AR19" s="82"/>
      <c r="AS19" s="76"/>
      <c r="AT19" s="57"/>
      <c r="AU19" s="63"/>
      <c r="AV19" s="69"/>
      <c r="AW19" s="63"/>
      <c r="AX19" s="63"/>
      <c r="AY19" s="69"/>
      <c r="AZ19" s="63"/>
      <c r="BA19" s="82"/>
      <c r="BB19" s="82"/>
      <c r="BC19" s="82"/>
      <c r="BD19" s="82"/>
      <c r="BE19" s="82"/>
      <c r="BF19" s="76"/>
    </row>
    <row r="20" spans="2:58" s="25" customFormat="1" ht="12" customHeight="1" outlineLevel="2" x14ac:dyDescent="0.2">
      <c r="B20" s="22"/>
      <c r="C20" s="23"/>
      <c r="D20" s="26" t="s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1239647.53</v>
      </c>
      <c r="N20" s="27">
        <v>250798.47</v>
      </c>
      <c r="O20" s="27">
        <v>336854.74</v>
      </c>
      <c r="P20" s="27">
        <v>35756.76</v>
      </c>
      <c r="Q20" s="27">
        <v>708664.77</v>
      </c>
      <c r="R20" s="27">
        <v>36558.230000000003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1">
        <v>0</v>
      </c>
      <c r="Z20" s="21">
        <v>0</v>
      </c>
      <c r="AA20" s="21">
        <v>0</v>
      </c>
      <c r="AB20" s="21">
        <v>0</v>
      </c>
      <c r="AC20" s="50"/>
      <c r="AD20" s="50"/>
      <c r="AE20" s="50"/>
      <c r="AF20" s="50"/>
      <c r="AG20" s="57"/>
      <c r="AH20" s="63"/>
      <c r="AI20" s="69"/>
      <c r="AJ20" s="63"/>
      <c r="AK20" s="63"/>
      <c r="AL20" s="69"/>
      <c r="AM20" s="63"/>
      <c r="AN20" s="82"/>
      <c r="AO20" s="82"/>
      <c r="AP20" s="82"/>
      <c r="AQ20" s="82"/>
      <c r="AR20" s="82"/>
      <c r="AS20" s="76"/>
      <c r="AT20" s="57"/>
      <c r="AU20" s="63"/>
      <c r="AV20" s="69"/>
      <c r="AW20" s="63"/>
      <c r="AX20" s="63"/>
      <c r="AY20" s="69"/>
      <c r="AZ20" s="63"/>
      <c r="BA20" s="82"/>
      <c r="BB20" s="82"/>
      <c r="BC20" s="82"/>
      <c r="BD20" s="82"/>
      <c r="BE20" s="82"/>
      <c r="BF20" s="76"/>
    </row>
    <row r="21" spans="2:58" s="25" customFormat="1" ht="12" customHeight="1" outlineLevel="2" x14ac:dyDescent="0.2">
      <c r="B21" s="22"/>
      <c r="C21" s="23"/>
      <c r="D21" s="26" t="s">
        <v>28</v>
      </c>
      <c r="E21" s="27">
        <v>7711666</v>
      </c>
      <c r="F21" s="27">
        <f>5399332+15596</f>
        <v>5414928</v>
      </c>
      <c r="G21" s="27">
        <v>3305000</v>
      </c>
      <c r="H21" s="27">
        <f>1563107+14604</f>
        <v>1577711</v>
      </c>
      <c r="I21" s="27">
        <v>3305000</v>
      </c>
      <c r="J21" s="27">
        <f>1232606.97+13612.72</f>
        <v>1246219.69</v>
      </c>
      <c r="K21" s="27">
        <v>3304999.56</v>
      </c>
      <c r="L21" s="27">
        <v>917171.87</v>
      </c>
      <c r="M21" s="27">
        <v>3304999.56</v>
      </c>
      <c r="N21" s="27">
        <v>640161.77</v>
      </c>
      <c r="O21" s="27">
        <v>2575466.58</v>
      </c>
      <c r="P21" s="27">
        <v>255044.56</v>
      </c>
      <c r="Q21" s="27">
        <v>1191492.5900000001</v>
      </c>
      <c r="R21" s="27">
        <v>56398.53</v>
      </c>
      <c r="S21" s="27">
        <v>168334.88</v>
      </c>
      <c r="T21" s="27">
        <v>-4057.44</v>
      </c>
      <c r="U21" s="27">
        <v>0</v>
      </c>
      <c r="V21" s="27">
        <v>0</v>
      </c>
      <c r="W21" s="27">
        <v>0</v>
      </c>
      <c r="X21" s="27">
        <v>0</v>
      </c>
      <c r="Y21" s="21">
        <v>0</v>
      </c>
      <c r="Z21" s="21">
        <v>0</v>
      </c>
      <c r="AA21" s="21">
        <v>0</v>
      </c>
      <c r="AB21" s="21">
        <v>0</v>
      </c>
      <c r="AC21" s="50"/>
      <c r="AD21" s="50"/>
      <c r="AE21" s="50"/>
      <c r="AF21" s="50"/>
      <c r="AG21" s="57"/>
      <c r="AH21" s="63"/>
      <c r="AI21" s="69"/>
      <c r="AJ21" s="63"/>
      <c r="AK21" s="63"/>
      <c r="AL21" s="69"/>
      <c r="AM21" s="63"/>
      <c r="AN21" s="82"/>
      <c r="AO21" s="82"/>
      <c r="AP21" s="82"/>
      <c r="AQ21" s="82"/>
      <c r="AR21" s="82"/>
      <c r="AS21" s="76"/>
      <c r="AT21" s="57"/>
      <c r="AU21" s="63"/>
      <c r="AV21" s="69"/>
      <c r="AW21" s="63"/>
      <c r="AX21" s="63"/>
      <c r="AY21" s="69"/>
      <c r="AZ21" s="63"/>
      <c r="BA21" s="82"/>
      <c r="BB21" s="82"/>
      <c r="BC21" s="82"/>
      <c r="BD21" s="82"/>
      <c r="BE21" s="82"/>
      <c r="BF21" s="76"/>
    </row>
    <row r="22" spans="2:58" s="14" customFormat="1" ht="6.75" customHeight="1" outlineLevel="1" x14ac:dyDescent="0.2">
      <c r="B22" s="28"/>
      <c r="C22" s="16"/>
      <c r="D22" s="1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8"/>
      <c r="V22" s="38"/>
      <c r="W22" s="38"/>
      <c r="X22" s="38"/>
      <c r="Y22" s="19"/>
      <c r="Z22" s="19"/>
      <c r="AA22" s="19"/>
      <c r="AB22" s="19"/>
      <c r="AC22" s="49"/>
      <c r="AD22" s="49"/>
      <c r="AE22" s="49"/>
      <c r="AF22" s="49"/>
      <c r="AG22" s="56"/>
      <c r="AH22" s="62"/>
      <c r="AI22" s="68"/>
      <c r="AJ22" s="62"/>
      <c r="AK22" s="62"/>
      <c r="AL22" s="68"/>
      <c r="AM22" s="62"/>
      <c r="AN22" s="81"/>
      <c r="AO22" s="81"/>
      <c r="AP22" s="81"/>
      <c r="AQ22" s="81"/>
      <c r="AR22" s="81"/>
      <c r="AS22" s="75"/>
      <c r="AT22" s="56"/>
      <c r="AU22" s="62"/>
      <c r="AV22" s="68"/>
      <c r="AW22" s="62"/>
      <c r="AX22" s="62"/>
      <c r="AY22" s="68"/>
      <c r="AZ22" s="62"/>
      <c r="BA22" s="81"/>
      <c r="BB22" s="81"/>
      <c r="BC22" s="81"/>
      <c r="BD22" s="81"/>
      <c r="BE22" s="81"/>
      <c r="BF22" s="75"/>
    </row>
    <row r="23" spans="2:58" s="25" customFormat="1" ht="12" customHeight="1" outlineLevel="1" x14ac:dyDescent="0.2">
      <c r="B23" s="22"/>
      <c r="C23" s="23" t="s">
        <v>29</v>
      </c>
      <c r="D23" s="2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ref="O23:Z23" si="6">+O24</f>
        <v>898799.14</v>
      </c>
      <c r="P23" s="18">
        <f t="shared" si="6"/>
        <v>188545.22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9">
        <f t="shared" si="6"/>
        <v>0</v>
      </c>
      <c r="Z23" s="19">
        <f t="shared" si="6"/>
        <v>0</v>
      </c>
      <c r="AA23" s="19">
        <f>+AA24</f>
        <v>0</v>
      </c>
      <c r="AB23" s="19">
        <f>+AB24</f>
        <v>0</v>
      </c>
      <c r="AC23" s="49"/>
      <c r="AD23" s="49"/>
      <c r="AE23" s="49"/>
      <c r="AF23" s="49"/>
      <c r="AG23" s="56"/>
      <c r="AH23" s="62"/>
      <c r="AI23" s="68"/>
      <c r="AJ23" s="62"/>
      <c r="AK23" s="62"/>
      <c r="AL23" s="68"/>
      <c r="AM23" s="62"/>
      <c r="AN23" s="81"/>
      <c r="AO23" s="81"/>
      <c r="AP23" s="81"/>
      <c r="AQ23" s="81"/>
      <c r="AR23" s="81"/>
      <c r="AS23" s="75"/>
      <c r="AT23" s="56"/>
      <c r="AU23" s="62"/>
      <c r="AV23" s="68"/>
      <c r="AW23" s="62"/>
      <c r="AX23" s="62"/>
      <c r="AY23" s="68"/>
      <c r="AZ23" s="62"/>
      <c r="BA23" s="81"/>
      <c r="BB23" s="81"/>
      <c r="BC23" s="81"/>
      <c r="BD23" s="81"/>
      <c r="BE23" s="81"/>
      <c r="BF23" s="75"/>
    </row>
    <row r="24" spans="2:58" s="25" customFormat="1" ht="12" customHeight="1" outlineLevel="2" x14ac:dyDescent="0.2">
      <c r="B24" s="22"/>
      <c r="C24" s="2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898799.14</v>
      </c>
      <c r="P24" s="27">
        <v>188545.22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1">
        <v>0</v>
      </c>
      <c r="Z24" s="21">
        <v>0</v>
      </c>
      <c r="AA24" s="21">
        <v>0</v>
      </c>
      <c r="AB24" s="21">
        <v>0</v>
      </c>
      <c r="AC24" s="50"/>
      <c r="AD24" s="50"/>
      <c r="AE24" s="50"/>
      <c r="AF24" s="50"/>
      <c r="AG24" s="57"/>
      <c r="AH24" s="63"/>
      <c r="AI24" s="69"/>
      <c r="AJ24" s="63"/>
      <c r="AK24" s="63"/>
      <c r="AL24" s="69"/>
      <c r="AM24" s="63"/>
      <c r="AN24" s="82"/>
      <c r="AO24" s="82"/>
      <c r="AP24" s="82"/>
      <c r="AQ24" s="82"/>
      <c r="AR24" s="82"/>
      <c r="AS24" s="76"/>
      <c r="AT24" s="57"/>
      <c r="AU24" s="63"/>
      <c r="AV24" s="69"/>
      <c r="AW24" s="63"/>
      <c r="AX24" s="63"/>
      <c r="AY24" s="69"/>
      <c r="AZ24" s="63"/>
      <c r="BA24" s="82"/>
      <c r="BB24" s="82"/>
      <c r="BC24" s="82"/>
      <c r="BD24" s="82"/>
      <c r="BE24" s="82"/>
      <c r="BF24" s="76"/>
    </row>
    <row r="25" spans="2:58" s="14" customFormat="1" ht="6.75" customHeight="1" outlineLevel="1" x14ac:dyDescent="0.2">
      <c r="B25" s="28"/>
      <c r="C25" s="16"/>
      <c r="D25" s="1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8"/>
      <c r="W25" s="38"/>
      <c r="X25" s="38"/>
      <c r="Y25" s="21"/>
      <c r="Z25" s="21"/>
      <c r="AA25" s="21"/>
      <c r="AB25" s="21"/>
      <c r="AC25" s="50"/>
      <c r="AD25" s="50"/>
      <c r="AE25" s="50"/>
      <c r="AF25" s="50"/>
      <c r="AG25" s="57"/>
      <c r="AH25" s="63"/>
      <c r="AI25" s="69"/>
      <c r="AJ25" s="63"/>
      <c r="AK25" s="63"/>
      <c r="AL25" s="69"/>
      <c r="AM25" s="63"/>
      <c r="AN25" s="82"/>
      <c r="AO25" s="82"/>
      <c r="AP25" s="82"/>
      <c r="AQ25" s="82"/>
      <c r="AR25" s="82"/>
      <c r="AS25" s="76"/>
      <c r="AT25" s="57"/>
      <c r="AU25" s="63"/>
      <c r="AV25" s="69"/>
      <c r="AW25" s="63"/>
      <c r="AX25" s="63"/>
      <c r="AY25" s="69"/>
      <c r="AZ25" s="63"/>
      <c r="BA25" s="82"/>
      <c r="BB25" s="82"/>
      <c r="BC25" s="82"/>
      <c r="BD25" s="82"/>
      <c r="BE25" s="82"/>
      <c r="BF25" s="76"/>
    </row>
    <row r="26" spans="2:58" s="25" customFormat="1" ht="12" customHeight="1" outlineLevel="1" x14ac:dyDescent="0.2">
      <c r="B26" s="22"/>
      <c r="C26" s="23" t="s">
        <v>30</v>
      </c>
      <c r="D26" s="24"/>
      <c r="E26" s="18">
        <f t="shared" ref="E26:M26" si="7">SUM(E27:E43)</f>
        <v>392239951.49000001</v>
      </c>
      <c r="F26" s="18">
        <f t="shared" si="7"/>
        <v>102814178.64</v>
      </c>
      <c r="G26" s="18">
        <f t="shared" si="7"/>
        <v>476095160</v>
      </c>
      <c r="H26" s="18">
        <f t="shared" si="7"/>
        <v>120668637</v>
      </c>
      <c r="I26" s="18">
        <f t="shared" si="7"/>
        <v>518305110.69</v>
      </c>
      <c r="J26" s="18">
        <f t="shared" si="7"/>
        <v>145896540.43000001</v>
      </c>
      <c r="K26" s="18">
        <f t="shared" si="7"/>
        <v>589105081.4927057</v>
      </c>
      <c r="L26" s="18">
        <f t="shared" si="7"/>
        <v>171381364.85058737</v>
      </c>
      <c r="M26" s="18">
        <f t="shared" si="7"/>
        <v>613638076.91999996</v>
      </c>
      <c r="N26" s="18">
        <f>SUM(N27:N44)</f>
        <v>180829461.62</v>
      </c>
      <c r="O26" s="18">
        <f t="shared" ref="O26:X26" si="8">SUM(O27:O45)</f>
        <v>602198661.99899995</v>
      </c>
      <c r="P26" s="18">
        <f t="shared" si="8"/>
        <v>89827976.040000007</v>
      </c>
      <c r="Q26" s="18">
        <f t="shared" si="8"/>
        <v>35739921.110000007</v>
      </c>
      <c r="R26" s="18">
        <f t="shared" si="8"/>
        <v>7871363.1999999993</v>
      </c>
      <c r="S26" s="18">
        <f t="shared" si="8"/>
        <v>50014098.100000001</v>
      </c>
      <c r="T26" s="18">
        <f t="shared" si="8"/>
        <v>6922437.5800000001</v>
      </c>
      <c r="U26" s="18">
        <f t="shared" si="8"/>
        <v>53552415.355916664</v>
      </c>
      <c r="V26" s="18">
        <f t="shared" si="8"/>
        <v>5220341.04</v>
      </c>
      <c r="W26" s="18">
        <f t="shared" si="8"/>
        <v>376093207.4394055</v>
      </c>
      <c r="X26" s="18">
        <f t="shared" si="8"/>
        <v>325480187.75968951</v>
      </c>
      <c r="Y26" s="19">
        <f t="shared" ref="Y26:AB26" si="9">SUM(Y27:Y45)</f>
        <v>349171279.44587404</v>
      </c>
      <c r="Z26" s="19">
        <f t="shared" si="9"/>
        <v>321506995.02525371</v>
      </c>
      <c r="AA26" s="19">
        <f t="shared" si="9"/>
        <v>299737773.61881095</v>
      </c>
      <c r="AB26" s="19">
        <f t="shared" si="9"/>
        <v>357186271.16599834</v>
      </c>
      <c r="AC26" s="49">
        <v>107713599.45999999</v>
      </c>
      <c r="AD26" s="49">
        <v>67001532.075720891</v>
      </c>
      <c r="AE26" s="49">
        <v>279847580.5333665</v>
      </c>
      <c r="AF26" s="49">
        <v>623563088.23000002</v>
      </c>
      <c r="AG26" s="56">
        <v>23346639.129999999</v>
      </c>
      <c r="AH26" s="62">
        <v>23417461.259999998</v>
      </c>
      <c r="AI26" s="68">
        <v>89568675.979999989</v>
      </c>
      <c r="AJ26" s="62">
        <v>89599259.479999989</v>
      </c>
      <c r="AK26" s="62">
        <v>89657687.199999988</v>
      </c>
      <c r="AL26" s="68">
        <v>89704933.219999999</v>
      </c>
      <c r="AM26" s="62">
        <v>89776214.769999996</v>
      </c>
      <c r="AN26" s="81">
        <v>89816107.579999998</v>
      </c>
      <c r="AO26" s="81">
        <v>95998361.949999988</v>
      </c>
      <c r="AP26" s="81">
        <v>96267482.030000001</v>
      </c>
      <c r="AQ26" s="81">
        <v>96416100.75999999</v>
      </c>
      <c r="AR26" s="81">
        <v>144748102.5</v>
      </c>
      <c r="AS26" s="75">
        <v>1018317025.8670888</v>
      </c>
      <c r="AT26" s="56">
        <v>140346225.92000002</v>
      </c>
      <c r="AU26" s="62">
        <v>111253396.72999999</v>
      </c>
      <c r="AV26" s="68">
        <v>99193529.210000008</v>
      </c>
      <c r="AW26" s="62">
        <v>127806441.41999999</v>
      </c>
      <c r="AX26" s="62">
        <v>136844213.22999999</v>
      </c>
      <c r="AY26" s="68">
        <v>128834444.46000001</v>
      </c>
      <c r="AZ26" s="62">
        <v>134069840.86000001</v>
      </c>
      <c r="BA26" s="81">
        <v>125988740.12</v>
      </c>
      <c r="BB26" s="81">
        <v>150818487.09999999</v>
      </c>
      <c r="BC26" s="81">
        <v>152113404.26999998</v>
      </c>
      <c r="BD26" s="81">
        <v>126122114.35999998</v>
      </c>
      <c r="BE26" s="81">
        <v>120120323.97</v>
      </c>
      <c r="BF26" s="75">
        <v>1553511161.53</v>
      </c>
    </row>
    <row r="27" spans="2:58" s="25" customFormat="1" ht="12" customHeight="1" outlineLevel="2" x14ac:dyDescent="0.2">
      <c r="B27" s="22"/>
      <c r="C27" s="23"/>
      <c r="D27" s="26" t="s">
        <v>31</v>
      </c>
      <c r="E27" s="27">
        <v>170731830</v>
      </c>
      <c r="F27" s="27">
        <f>75791888+701943</f>
        <v>76493831</v>
      </c>
      <c r="G27" s="27">
        <v>206034754</v>
      </c>
      <c r="H27" s="27">
        <f>80157622+598681</f>
        <v>80756303</v>
      </c>
      <c r="I27" s="27">
        <v>224505642</v>
      </c>
      <c r="J27" s="27">
        <f>82855217.17+615880.5</f>
        <v>83471097.670000002</v>
      </c>
      <c r="K27" s="27">
        <v>244018661.35000002</v>
      </c>
      <c r="L27" s="27">
        <v>86035202.559999987</v>
      </c>
      <c r="M27" s="27">
        <v>259224139.85000002</v>
      </c>
      <c r="N27" s="27">
        <v>85919588.969999999</v>
      </c>
      <c r="O27" s="27">
        <v>291443856.96000004</v>
      </c>
      <c r="P27" s="27">
        <v>36383673.07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1">
        <v>0</v>
      </c>
      <c r="Z27" s="21">
        <v>0</v>
      </c>
      <c r="AA27" s="21">
        <v>0</v>
      </c>
      <c r="AB27" s="21">
        <v>0</v>
      </c>
      <c r="AC27" s="50"/>
      <c r="AD27" s="50"/>
      <c r="AE27" s="50"/>
      <c r="AF27" s="50"/>
      <c r="AG27" s="57"/>
      <c r="AH27" s="63"/>
      <c r="AI27" s="69"/>
      <c r="AJ27" s="63"/>
      <c r="AK27" s="63"/>
      <c r="AL27" s="69"/>
      <c r="AM27" s="63"/>
      <c r="AN27" s="82"/>
      <c r="AO27" s="82"/>
      <c r="AP27" s="82"/>
      <c r="AQ27" s="82"/>
      <c r="AR27" s="82"/>
      <c r="AS27" s="76"/>
      <c r="AT27" s="57"/>
      <c r="AU27" s="63"/>
      <c r="AV27" s="69"/>
      <c r="AW27" s="63"/>
      <c r="AX27" s="63"/>
      <c r="AY27" s="69"/>
      <c r="AZ27" s="63"/>
      <c r="BA27" s="82"/>
      <c r="BB27" s="82"/>
      <c r="BC27" s="82"/>
      <c r="BD27" s="82"/>
      <c r="BE27" s="82"/>
      <c r="BF27" s="76"/>
    </row>
    <row r="28" spans="2:58" s="25" customFormat="1" ht="12" customHeight="1" outlineLevel="2" x14ac:dyDescent="0.2">
      <c r="B28" s="22"/>
      <c r="C28" s="23"/>
      <c r="D28" s="26" t="s">
        <v>32</v>
      </c>
      <c r="E28" s="27">
        <v>2356668</v>
      </c>
      <c r="F28" s="27">
        <f>3270075+22347</f>
        <v>3292422</v>
      </c>
      <c r="G28" s="27">
        <v>2843966</v>
      </c>
      <c r="H28" s="27">
        <f>1106442+8264</f>
        <v>1114706</v>
      </c>
      <c r="I28" s="27">
        <v>3098926</v>
      </c>
      <c r="J28" s="27">
        <f>1143678.2+8501.19</f>
        <v>1152179.3899999999</v>
      </c>
      <c r="K28" s="27">
        <v>3368270.92</v>
      </c>
      <c r="L28" s="27">
        <v>1187572.6100000001</v>
      </c>
      <c r="M28" s="27">
        <v>3578157.21</v>
      </c>
      <c r="N28" s="27">
        <v>1185976.7</v>
      </c>
      <c r="O28" s="27">
        <v>4022896.71</v>
      </c>
      <c r="P28" s="27">
        <v>502215.95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1">
        <v>0</v>
      </c>
      <c r="Z28" s="21">
        <v>0</v>
      </c>
      <c r="AA28" s="21">
        <v>0</v>
      </c>
      <c r="AB28" s="21">
        <v>0</v>
      </c>
      <c r="AC28" s="50"/>
      <c r="AD28" s="50"/>
      <c r="AE28" s="50"/>
      <c r="AF28" s="50"/>
      <c r="AG28" s="57"/>
      <c r="AH28" s="63"/>
      <c r="AI28" s="69"/>
      <c r="AJ28" s="63"/>
      <c r="AK28" s="63"/>
      <c r="AL28" s="69"/>
      <c r="AM28" s="63"/>
      <c r="AN28" s="82"/>
      <c r="AO28" s="82"/>
      <c r="AP28" s="82"/>
      <c r="AQ28" s="82"/>
      <c r="AR28" s="82"/>
      <c r="AS28" s="76"/>
      <c r="AT28" s="57"/>
      <c r="AU28" s="63"/>
      <c r="AV28" s="69"/>
      <c r="AW28" s="63"/>
      <c r="AX28" s="63"/>
      <c r="AY28" s="69"/>
      <c r="AZ28" s="63"/>
      <c r="BA28" s="82"/>
      <c r="BB28" s="82"/>
      <c r="BC28" s="82"/>
      <c r="BD28" s="82"/>
      <c r="BE28" s="82"/>
      <c r="BF28" s="76"/>
    </row>
    <row r="29" spans="2:58" s="25" customFormat="1" ht="12" customHeight="1" outlineLevel="2" x14ac:dyDescent="0.2">
      <c r="B29" s="22"/>
      <c r="C29" s="23"/>
      <c r="D29" s="26" t="s">
        <v>33</v>
      </c>
      <c r="E29" s="27">
        <f>22105165+57501757</f>
        <v>79606922</v>
      </c>
      <c r="F29" s="27">
        <f>1765570+0</f>
        <v>1765570</v>
      </c>
      <c r="G29" s="27">
        <v>64185385</v>
      </c>
      <c r="H29" s="27">
        <v>686606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1">
        <v>0</v>
      </c>
      <c r="Z29" s="21">
        <v>0</v>
      </c>
      <c r="AA29" s="21">
        <v>0</v>
      </c>
      <c r="AB29" s="21">
        <v>0</v>
      </c>
      <c r="AC29" s="50"/>
      <c r="AD29" s="50"/>
      <c r="AE29" s="50"/>
      <c r="AF29" s="50"/>
      <c r="AG29" s="57"/>
      <c r="AH29" s="63"/>
      <c r="AI29" s="69"/>
      <c r="AJ29" s="63"/>
      <c r="AK29" s="63"/>
      <c r="AL29" s="69"/>
      <c r="AM29" s="63"/>
      <c r="AN29" s="82"/>
      <c r="AO29" s="82"/>
      <c r="AP29" s="82"/>
      <c r="AQ29" s="82"/>
      <c r="AR29" s="82"/>
      <c r="AS29" s="76"/>
      <c r="AT29" s="57"/>
      <c r="AU29" s="63"/>
      <c r="AV29" s="69"/>
      <c r="AW29" s="63"/>
      <c r="AX29" s="63"/>
      <c r="AY29" s="69"/>
      <c r="AZ29" s="63"/>
      <c r="BA29" s="82"/>
      <c r="BB29" s="82"/>
      <c r="BC29" s="82"/>
      <c r="BD29" s="82"/>
      <c r="BE29" s="82"/>
      <c r="BF29" s="76"/>
    </row>
    <row r="30" spans="2:58" s="25" customFormat="1" ht="12" customHeight="1" outlineLevel="2" x14ac:dyDescent="0.2">
      <c r="B30" s="22"/>
      <c r="C30" s="23"/>
      <c r="D30" s="26" t="s">
        <v>34</v>
      </c>
      <c r="E30" s="27">
        <v>24210144</v>
      </c>
      <c r="F30" s="27">
        <v>1227595</v>
      </c>
      <c r="G30" s="27">
        <v>26939937</v>
      </c>
      <c r="H30" s="27">
        <v>827897</v>
      </c>
      <c r="I30" s="27">
        <v>28341669</v>
      </c>
      <c r="J30" s="27">
        <v>307490.02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1">
        <v>0</v>
      </c>
      <c r="Z30" s="21">
        <v>0</v>
      </c>
      <c r="AA30" s="21">
        <v>0</v>
      </c>
      <c r="AB30" s="21">
        <v>0</v>
      </c>
      <c r="AC30" s="50"/>
      <c r="AD30" s="50"/>
      <c r="AE30" s="50"/>
      <c r="AF30" s="50"/>
      <c r="AG30" s="57"/>
      <c r="AH30" s="63"/>
      <c r="AI30" s="69"/>
      <c r="AJ30" s="63"/>
      <c r="AK30" s="63"/>
      <c r="AL30" s="69"/>
      <c r="AM30" s="63"/>
      <c r="AN30" s="82"/>
      <c r="AO30" s="82"/>
      <c r="AP30" s="82"/>
      <c r="AQ30" s="82"/>
      <c r="AR30" s="82"/>
      <c r="AS30" s="76"/>
      <c r="AT30" s="57"/>
      <c r="AU30" s="63"/>
      <c r="AV30" s="69"/>
      <c r="AW30" s="63"/>
      <c r="AX30" s="63"/>
      <c r="AY30" s="69"/>
      <c r="AZ30" s="63"/>
      <c r="BA30" s="82"/>
      <c r="BB30" s="82"/>
      <c r="BC30" s="82"/>
      <c r="BD30" s="82"/>
      <c r="BE30" s="82"/>
      <c r="BF30" s="76"/>
    </row>
    <row r="31" spans="2:58" s="25" customFormat="1" ht="12" customHeight="1" outlineLevel="2" x14ac:dyDescent="0.2">
      <c r="B31" s="22"/>
      <c r="C31" s="23"/>
      <c r="D31" s="26" t="s">
        <v>35</v>
      </c>
      <c r="E31" s="27">
        <v>0</v>
      </c>
      <c r="F31" s="27">
        <v>0</v>
      </c>
      <c r="G31" s="27">
        <v>42639787</v>
      </c>
      <c r="H31" s="27">
        <v>8558651</v>
      </c>
      <c r="I31" s="27">
        <v>44724105</v>
      </c>
      <c r="J31" s="27">
        <v>1556287.93</v>
      </c>
      <c r="K31" s="27">
        <v>46483082.220000006</v>
      </c>
      <c r="L31" s="27">
        <v>1360914.07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1">
        <v>0</v>
      </c>
      <c r="Z31" s="21">
        <v>0</v>
      </c>
      <c r="AA31" s="21">
        <v>0</v>
      </c>
      <c r="AB31" s="21">
        <v>0</v>
      </c>
      <c r="AC31" s="50"/>
      <c r="AD31" s="50"/>
      <c r="AE31" s="50"/>
      <c r="AF31" s="50"/>
      <c r="AG31" s="57"/>
      <c r="AH31" s="63"/>
      <c r="AI31" s="69"/>
      <c r="AJ31" s="63"/>
      <c r="AK31" s="63"/>
      <c r="AL31" s="69"/>
      <c r="AM31" s="63"/>
      <c r="AN31" s="82"/>
      <c r="AO31" s="82"/>
      <c r="AP31" s="82"/>
      <c r="AQ31" s="82"/>
      <c r="AR31" s="82"/>
      <c r="AS31" s="76"/>
      <c r="AT31" s="57"/>
      <c r="AU31" s="63"/>
      <c r="AV31" s="69"/>
      <c r="AW31" s="63"/>
      <c r="AX31" s="63"/>
      <c r="AY31" s="69"/>
      <c r="AZ31" s="63"/>
      <c r="BA31" s="82"/>
      <c r="BB31" s="82"/>
      <c r="BC31" s="82"/>
      <c r="BD31" s="82"/>
      <c r="BE31" s="82"/>
      <c r="BF31" s="76"/>
    </row>
    <row r="32" spans="2:58" s="25" customFormat="1" ht="12" customHeight="1" outlineLevel="2" x14ac:dyDescent="0.2">
      <c r="B32" s="22"/>
      <c r="C32" s="23"/>
      <c r="D32" s="26" t="s">
        <v>36</v>
      </c>
      <c r="E32" s="27">
        <v>0</v>
      </c>
      <c r="F32" s="27">
        <v>0</v>
      </c>
      <c r="G32" s="27">
        <v>0</v>
      </c>
      <c r="H32" s="27">
        <v>4771372</v>
      </c>
      <c r="I32" s="27">
        <v>38106036</v>
      </c>
      <c r="J32" s="27">
        <v>14053628.369999999</v>
      </c>
      <c r="K32" s="27">
        <v>38106036.096848689</v>
      </c>
      <c r="L32" s="27">
        <v>12711913.950000003</v>
      </c>
      <c r="M32" s="27">
        <v>38106036.109999992</v>
      </c>
      <c r="N32" s="27">
        <v>10388994.220000001</v>
      </c>
      <c r="O32" s="27">
        <v>27422648.219999999</v>
      </c>
      <c r="P32" s="27">
        <v>3629508.91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1">
        <v>0</v>
      </c>
      <c r="Z32" s="21">
        <v>0</v>
      </c>
      <c r="AA32" s="21">
        <v>0</v>
      </c>
      <c r="AB32" s="21">
        <v>0</v>
      </c>
      <c r="AC32" s="50"/>
      <c r="AD32" s="50"/>
      <c r="AE32" s="50"/>
      <c r="AF32" s="50"/>
      <c r="AG32" s="57"/>
      <c r="AH32" s="63"/>
      <c r="AI32" s="69"/>
      <c r="AJ32" s="63"/>
      <c r="AK32" s="63"/>
      <c r="AL32" s="69"/>
      <c r="AM32" s="63"/>
      <c r="AN32" s="82"/>
      <c r="AO32" s="82"/>
      <c r="AP32" s="82"/>
      <c r="AQ32" s="82"/>
      <c r="AR32" s="82"/>
      <c r="AS32" s="76"/>
      <c r="AT32" s="57"/>
      <c r="AU32" s="63"/>
      <c r="AV32" s="69"/>
      <c r="AW32" s="63"/>
      <c r="AX32" s="63"/>
      <c r="AY32" s="69"/>
      <c r="AZ32" s="63"/>
      <c r="BA32" s="82"/>
      <c r="BB32" s="82"/>
      <c r="BC32" s="82"/>
      <c r="BD32" s="82"/>
      <c r="BE32" s="82"/>
      <c r="BF32" s="76"/>
    </row>
    <row r="33" spans="2:58" s="25" customFormat="1" ht="12" customHeight="1" outlineLevel="2" x14ac:dyDescent="0.2">
      <c r="B33" s="22"/>
      <c r="C33" s="23"/>
      <c r="D33" s="26" t="s">
        <v>37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11074685.380000001</v>
      </c>
      <c r="K33" s="27">
        <v>28804129.318727996</v>
      </c>
      <c r="L33" s="27">
        <v>11341843.970587397</v>
      </c>
      <c r="M33" s="27">
        <v>28804129.319999997</v>
      </c>
      <c r="N33" s="27">
        <v>9581227.5700000003</v>
      </c>
      <c r="O33" s="27">
        <v>21164232.209999997</v>
      </c>
      <c r="P33" s="27">
        <v>3458498.25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1">
        <v>0</v>
      </c>
      <c r="Z33" s="21">
        <v>0</v>
      </c>
      <c r="AA33" s="21">
        <v>0</v>
      </c>
      <c r="AB33" s="21">
        <v>0</v>
      </c>
      <c r="AC33" s="50"/>
      <c r="AD33" s="50"/>
      <c r="AE33" s="50"/>
      <c r="AF33" s="50"/>
      <c r="AG33" s="57"/>
      <c r="AH33" s="63"/>
      <c r="AI33" s="69"/>
      <c r="AJ33" s="63"/>
      <c r="AK33" s="63"/>
      <c r="AL33" s="69"/>
      <c r="AM33" s="63"/>
      <c r="AN33" s="82"/>
      <c r="AO33" s="82"/>
      <c r="AP33" s="82"/>
      <c r="AQ33" s="82"/>
      <c r="AR33" s="82"/>
      <c r="AS33" s="76"/>
      <c r="AT33" s="57"/>
      <c r="AU33" s="63"/>
      <c r="AV33" s="69"/>
      <c r="AW33" s="63"/>
      <c r="AX33" s="63"/>
      <c r="AY33" s="69"/>
      <c r="AZ33" s="63"/>
      <c r="BA33" s="82"/>
      <c r="BB33" s="82"/>
      <c r="BC33" s="82"/>
      <c r="BD33" s="82"/>
      <c r="BE33" s="82"/>
      <c r="BF33" s="76"/>
    </row>
    <row r="34" spans="2:58" s="25" customFormat="1" ht="12" customHeight="1" outlineLevel="2" x14ac:dyDescent="0.2">
      <c r="B34" s="22"/>
      <c r="C34" s="23"/>
      <c r="D34" s="26" t="s">
        <v>3</v>
      </c>
      <c r="E34" s="27">
        <v>0</v>
      </c>
      <c r="F34" s="27">
        <v>0</v>
      </c>
      <c r="G34" s="27">
        <v>0</v>
      </c>
      <c r="H34" s="27">
        <v>0</v>
      </c>
      <c r="I34" s="27">
        <v>30318619</v>
      </c>
      <c r="J34" s="27">
        <v>10669069.34</v>
      </c>
      <c r="K34" s="27">
        <v>30318619.077128999</v>
      </c>
      <c r="L34" s="27">
        <v>9655479.6899999995</v>
      </c>
      <c r="M34" s="27">
        <v>30318619.079999998</v>
      </c>
      <c r="N34" s="27">
        <v>7505100.6800000006</v>
      </c>
      <c r="O34" s="27">
        <v>21547188.899999999</v>
      </c>
      <c r="P34" s="27">
        <v>2484407.7000000002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1">
        <v>0</v>
      </c>
      <c r="Z34" s="21">
        <v>0</v>
      </c>
      <c r="AA34" s="21">
        <v>0</v>
      </c>
      <c r="AB34" s="21">
        <v>0</v>
      </c>
      <c r="AC34" s="50"/>
      <c r="AD34" s="50"/>
      <c r="AE34" s="50"/>
      <c r="AF34" s="50"/>
      <c r="AG34" s="57"/>
      <c r="AH34" s="63"/>
      <c r="AI34" s="69"/>
      <c r="AJ34" s="63"/>
      <c r="AK34" s="63"/>
      <c r="AL34" s="69"/>
      <c r="AM34" s="63"/>
      <c r="AN34" s="82"/>
      <c r="AO34" s="82"/>
      <c r="AP34" s="82"/>
      <c r="AQ34" s="82"/>
      <c r="AR34" s="82"/>
      <c r="AS34" s="76"/>
      <c r="AT34" s="57"/>
      <c r="AU34" s="63"/>
      <c r="AV34" s="69"/>
      <c r="AW34" s="63"/>
      <c r="AX34" s="63"/>
      <c r="AY34" s="69"/>
      <c r="AZ34" s="63"/>
      <c r="BA34" s="82"/>
      <c r="BB34" s="82"/>
      <c r="BC34" s="82"/>
      <c r="BD34" s="82"/>
      <c r="BE34" s="82"/>
      <c r="BF34" s="76"/>
    </row>
    <row r="35" spans="2:58" s="25" customFormat="1" ht="12" customHeight="1" outlineLevel="2" x14ac:dyDescent="0.2">
      <c r="B35" s="22"/>
      <c r="C35" s="23"/>
      <c r="D35" s="26" t="s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33759223.20000001</v>
      </c>
      <c r="L35" s="27">
        <v>11917548.129999999</v>
      </c>
      <c r="M35" s="27">
        <v>33759223.20000001</v>
      </c>
      <c r="N35" s="27">
        <v>10719936.879999999</v>
      </c>
      <c r="O35" s="27">
        <v>24588039.650000002</v>
      </c>
      <c r="P35" s="27">
        <v>3743972.28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1">
        <v>0</v>
      </c>
      <c r="Z35" s="21">
        <v>0</v>
      </c>
      <c r="AA35" s="21">
        <v>0</v>
      </c>
      <c r="AB35" s="21">
        <v>0</v>
      </c>
      <c r="AC35" s="50"/>
      <c r="AD35" s="50"/>
      <c r="AE35" s="50"/>
      <c r="AF35" s="50"/>
      <c r="AG35" s="57"/>
      <c r="AH35" s="63"/>
      <c r="AI35" s="69"/>
      <c r="AJ35" s="63"/>
      <c r="AK35" s="63"/>
      <c r="AL35" s="69"/>
      <c r="AM35" s="63"/>
      <c r="AN35" s="82"/>
      <c r="AO35" s="82"/>
      <c r="AP35" s="82"/>
      <c r="AQ35" s="82"/>
      <c r="AR35" s="82"/>
      <c r="AS35" s="76"/>
      <c r="AT35" s="57"/>
      <c r="AU35" s="63"/>
      <c r="AV35" s="69"/>
      <c r="AW35" s="63"/>
      <c r="AX35" s="63"/>
      <c r="AY35" s="69"/>
      <c r="AZ35" s="63"/>
      <c r="BA35" s="82"/>
      <c r="BB35" s="82"/>
      <c r="BC35" s="82"/>
      <c r="BD35" s="82"/>
      <c r="BE35" s="82"/>
      <c r="BF35" s="76"/>
    </row>
    <row r="36" spans="2:58" s="25" customFormat="1" ht="12" customHeight="1" outlineLevel="2" x14ac:dyDescent="0.2">
      <c r="B36" s="22"/>
      <c r="C36" s="23"/>
      <c r="D36" s="26" t="s">
        <v>5</v>
      </c>
      <c r="E36" s="27">
        <v>99266933</v>
      </c>
      <c r="F36" s="27">
        <v>11586482</v>
      </c>
      <c r="G36" s="27">
        <v>110383942</v>
      </c>
      <c r="H36" s="27">
        <v>10688816</v>
      </c>
      <c r="I36" s="27">
        <v>120341441</v>
      </c>
      <c r="J36" s="27">
        <v>9263147.5600000005</v>
      </c>
      <c r="K36" s="27">
        <v>130844192.90000001</v>
      </c>
      <c r="L36" s="27">
        <v>7491843.9900000002</v>
      </c>
      <c r="M36" s="27">
        <v>139032852.31999999</v>
      </c>
      <c r="N36" s="27">
        <v>5172822.55</v>
      </c>
      <c r="O36" s="27">
        <v>87763009.370000005</v>
      </c>
      <c r="P36" s="27">
        <v>1422587.82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1">
        <v>0</v>
      </c>
      <c r="Z36" s="21">
        <v>0</v>
      </c>
      <c r="AA36" s="21">
        <v>0</v>
      </c>
      <c r="AB36" s="21">
        <v>0</v>
      </c>
      <c r="AC36" s="50"/>
      <c r="AD36" s="50"/>
      <c r="AE36" s="50"/>
      <c r="AF36" s="50"/>
      <c r="AG36" s="57"/>
      <c r="AH36" s="63"/>
      <c r="AI36" s="69"/>
      <c r="AJ36" s="63"/>
      <c r="AK36" s="63"/>
      <c r="AL36" s="69"/>
      <c r="AM36" s="63"/>
      <c r="AN36" s="82"/>
      <c r="AO36" s="82"/>
      <c r="AP36" s="82"/>
      <c r="AQ36" s="82"/>
      <c r="AR36" s="82"/>
      <c r="AS36" s="76"/>
      <c r="AT36" s="57"/>
      <c r="AU36" s="63"/>
      <c r="AV36" s="69"/>
      <c r="AW36" s="63"/>
      <c r="AX36" s="63"/>
      <c r="AY36" s="69"/>
      <c r="AZ36" s="63"/>
      <c r="BA36" s="82"/>
      <c r="BB36" s="82"/>
      <c r="BC36" s="82"/>
      <c r="BD36" s="82"/>
      <c r="BE36" s="82"/>
      <c r="BF36" s="76"/>
    </row>
    <row r="37" spans="2:58" s="25" customFormat="1" ht="12" customHeight="1" outlineLevel="2" x14ac:dyDescent="0.2">
      <c r="B37" s="22"/>
      <c r="C37" s="23"/>
      <c r="D37" s="26" t="s">
        <v>1</v>
      </c>
      <c r="E37" s="27">
        <v>847329</v>
      </c>
      <c r="F37" s="27">
        <v>354623</v>
      </c>
      <c r="G37" s="27">
        <v>898168</v>
      </c>
      <c r="H37" s="27">
        <v>318862</v>
      </c>
      <c r="I37" s="27">
        <v>952058</v>
      </c>
      <c r="J37" s="27">
        <v>249893.4</v>
      </c>
      <c r="K37" s="27">
        <v>1009181.94</v>
      </c>
      <c r="L37" s="27">
        <v>192769.9</v>
      </c>
      <c r="M37" s="27">
        <v>1069732.8600000001</v>
      </c>
      <c r="N37" s="27">
        <v>132218.98000000001</v>
      </c>
      <c r="O37" s="27">
        <v>1133916.83</v>
      </c>
      <c r="P37" s="27">
        <v>68035.009999999995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1"/>
      <c r="Z37" s="21"/>
      <c r="AA37" s="21"/>
      <c r="AB37" s="21"/>
      <c r="AC37" s="50"/>
      <c r="AD37" s="50"/>
      <c r="AE37" s="50"/>
      <c r="AF37" s="50"/>
      <c r="AG37" s="57"/>
      <c r="AH37" s="63"/>
      <c r="AI37" s="69"/>
      <c r="AJ37" s="63"/>
      <c r="AK37" s="63"/>
      <c r="AL37" s="69"/>
      <c r="AM37" s="63"/>
      <c r="AN37" s="82"/>
      <c r="AO37" s="82"/>
      <c r="AP37" s="82"/>
      <c r="AQ37" s="82"/>
      <c r="AR37" s="82"/>
      <c r="AS37" s="76"/>
      <c r="AT37" s="57"/>
      <c r="AU37" s="63"/>
      <c r="AV37" s="69"/>
      <c r="AW37" s="63"/>
      <c r="AX37" s="63"/>
      <c r="AY37" s="69"/>
      <c r="AZ37" s="63"/>
      <c r="BA37" s="82"/>
      <c r="BB37" s="82"/>
      <c r="BC37" s="82"/>
      <c r="BD37" s="82"/>
      <c r="BE37" s="82"/>
      <c r="BF37" s="76"/>
    </row>
    <row r="38" spans="2:58" s="25" customFormat="1" ht="12" customHeight="1" outlineLevel="2" x14ac:dyDescent="0.2">
      <c r="B38" s="22"/>
      <c r="C38" s="23"/>
      <c r="D38" s="26" t="s">
        <v>38</v>
      </c>
      <c r="E38" s="27">
        <v>1210099</v>
      </c>
      <c r="F38" s="27">
        <f>71123.97+903100</f>
        <v>974223.97</v>
      </c>
      <c r="G38" s="27">
        <v>1264306</v>
      </c>
      <c r="H38" s="27">
        <f>794968+81230</f>
        <v>876198</v>
      </c>
      <c r="I38" s="27">
        <v>1264306</v>
      </c>
      <c r="J38" s="27">
        <f>684368.67+82399.53</f>
        <v>766768.20000000007</v>
      </c>
      <c r="K38" s="27">
        <v>1268730.96</v>
      </c>
      <c r="L38" s="27">
        <v>661315.56999999995</v>
      </c>
      <c r="M38" s="27">
        <v>1269615.96</v>
      </c>
      <c r="N38" s="27">
        <v>462505.37</v>
      </c>
      <c r="O38" s="27">
        <v>1269615.96</v>
      </c>
      <c r="P38" s="27">
        <v>437270.51</v>
      </c>
      <c r="Q38" s="27">
        <v>1269615.96</v>
      </c>
      <c r="R38" s="27">
        <v>326179.11</v>
      </c>
      <c r="S38" s="27">
        <v>1269615.96</v>
      </c>
      <c r="T38" s="27">
        <v>215741.9</v>
      </c>
      <c r="U38" s="27">
        <v>1192032.7259166667</v>
      </c>
      <c r="V38" s="27">
        <v>104833.51</v>
      </c>
      <c r="W38" s="27">
        <v>513610.13</v>
      </c>
      <c r="X38" s="27">
        <v>21322.75</v>
      </c>
      <c r="Y38" s="21">
        <v>59517.42</v>
      </c>
      <c r="Z38" s="21">
        <v>2924.39</v>
      </c>
      <c r="AA38" s="21">
        <v>5310</v>
      </c>
      <c r="AB38" s="21">
        <v>794.27</v>
      </c>
      <c r="AC38" s="50">
        <v>6195</v>
      </c>
      <c r="AD38" s="50">
        <v>0</v>
      </c>
      <c r="AE38" s="50"/>
      <c r="AF38" s="50"/>
      <c r="AG38" s="57"/>
      <c r="AH38" s="63"/>
      <c r="AI38" s="69"/>
      <c r="AJ38" s="63"/>
      <c r="AK38" s="63"/>
      <c r="AL38" s="69"/>
      <c r="AM38" s="63"/>
      <c r="AN38" s="82"/>
      <c r="AO38" s="82"/>
      <c r="AP38" s="82"/>
      <c r="AQ38" s="82"/>
      <c r="AR38" s="82"/>
      <c r="AS38" s="76"/>
      <c r="AT38" s="57"/>
      <c r="AU38" s="63"/>
      <c r="AV38" s="69"/>
      <c r="AW38" s="63"/>
      <c r="AX38" s="63"/>
      <c r="AY38" s="69"/>
      <c r="AZ38" s="63"/>
      <c r="BA38" s="82"/>
      <c r="BB38" s="82"/>
      <c r="BC38" s="82"/>
      <c r="BD38" s="82"/>
      <c r="BE38" s="82"/>
      <c r="BF38" s="76"/>
    </row>
    <row r="39" spans="2:58" s="25" customFormat="1" ht="12" customHeight="1" outlineLevel="2" x14ac:dyDescent="0.2">
      <c r="B39" s="22"/>
      <c r="C39" s="23"/>
      <c r="D39" s="26" t="s">
        <v>89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331444793.86940551</v>
      </c>
      <c r="X39" s="27">
        <v>320314060.05968952</v>
      </c>
      <c r="Y39" s="21">
        <v>331444793.86587399</v>
      </c>
      <c r="Z39" s="21">
        <v>300953430.8552537</v>
      </c>
      <c r="AA39" s="21">
        <v>276203994.87881094</v>
      </c>
      <c r="AB39" s="21">
        <v>236665668.72819003</v>
      </c>
      <c r="AC39" s="50">
        <v>77966219.159999996</v>
      </c>
      <c r="AD39" s="50">
        <v>62350041.695720889</v>
      </c>
      <c r="AE39" s="50">
        <v>155932438.31988233</v>
      </c>
      <c r="AF39" s="50">
        <v>114841924.09</v>
      </c>
      <c r="AG39" s="57">
        <v>12994369.859999999</v>
      </c>
      <c r="AH39" s="63">
        <v>12994369.859999999</v>
      </c>
      <c r="AI39" s="69">
        <v>12994369.859999999</v>
      </c>
      <c r="AJ39" s="63">
        <v>12994369.859999999</v>
      </c>
      <c r="AK39" s="63">
        <v>12994369.859999999</v>
      </c>
      <c r="AL39" s="69">
        <v>12994369.859999999</v>
      </c>
      <c r="AM39" s="63">
        <v>12994369.859999999</v>
      </c>
      <c r="AN39" s="82">
        <v>12994369.859999999</v>
      </c>
      <c r="AO39" s="82">
        <v>12994369.859999999</v>
      </c>
      <c r="AP39" s="82">
        <v>12994369.859999999</v>
      </c>
      <c r="AQ39" s="82">
        <v>12994369.859999999</v>
      </c>
      <c r="AR39" s="82">
        <v>12994369.859999999</v>
      </c>
      <c r="AS39" s="76">
        <v>155932438.31988233</v>
      </c>
      <c r="AT39" s="57">
        <v>9283216.9800000004</v>
      </c>
      <c r="AU39" s="63">
        <v>8324617.8499999996</v>
      </c>
      <c r="AV39" s="69">
        <v>8562316.3800000008</v>
      </c>
      <c r="AW39" s="63">
        <v>9383786.1300000008</v>
      </c>
      <c r="AX39" s="63">
        <v>9025349.8399999999</v>
      </c>
      <c r="AY39" s="69">
        <v>8091761.4100000001</v>
      </c>
      <c r="AZ39" s="63">
        <v>9471891.8800000008</v>
      </c>
      <c r="BA39" s="82">
        <v>8546365.1300000008</v>
      </c>
      <c r="BB39" s="82">
        <v>8767482.6999999993</v>
      </c>
      <c r="BC39" s="82">
        <v>8703015.9199999999</v>
      </c>
      <c r="BD39" s="82">
        <v>8079932.3600000003</v>
      </c>
      <c r="BE39" s="82">
        <v>8851372.7300000004</v>
      </c>
      <c r="BF39" s="76">
        <v>105091109.31000002</v>
      </c>
    </row>
    <row r="40" spans="2:58" s="25" customFormat="1" ht="12" customHeight="1" outlineLevel="2" x14ac:dyDescent="0.2">
      <c r="B40" s="22"/>
      <c r="C40" s="23"/>
      <c r="D40" s="26" t="s">
        <v>92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50">
        <v>0</v>
      </c>
      <c r="AD40" s="50">
        <v>0</v>
      </c>
      <c r="AE40" s="50">
        <v>98708572.563484177</v>
      </c>
      <c r="AF40" s="50">
        <v>35554912.299999997</v>
      </c>
      <c r="AG40" s="57">
        <v>8225714.3799999999</v>
      </c>
      <c r="AH40" s="63">
        <v>8225714.3799999999</v>
      </c>
      <c r="AI40" s="69">
        <v>8225714.3799999999</v>
      </c>
      <c r="AJ40" s="63">
        <v>8225714.3799999999</v>
      </c>
      <c r="AK40" s="63">
        <v>8225714.3799999999</v>
      </c>
      <c r="AL40" s="69">
        <v>8225714.3799999999</v>
      </c>
      <c r="AM40" s="63">
        <v>8225714.3799999999</v>
      </c>
      <c r="AN40" s="82">
        <v>8225714.3799999999</v>
      </c>
      <c r="AO40" s="82">
        <v>8225714.3799999999</v>
      </c>
      <c r="AP40" s="82">
        <v>8225714.3799999999</v>
      </c>
      <c r="AQ40" s="82">
        <v>8225714.3799999999</v>
      </c>
      <c r="AR40" s="82">
        <v>8225714.3799999999</v>
      </c>
      <c r="AS40" s="76">
        <v>98708572.566968367</v>
      </c>
      <c r="AT40" s="57">
        <v>2367271.5099999998</v>
      </c>
      <c r="AU40" s="63">
        <v>2048284.5</v>
      </c>
      <c r="AV40" s="69">
        <v>2029994.02</v>
      </c>
      <c r="AW40" s="63">
        <v>2139872.31</v>
      </c>
      <c r="AX40" s="63">
        <v>1974381.03</v>
      </c>
      <c r="AY40" s="69">
        <v>1693619.83</v>
      </c>
      <c r="AZ40" s="63">
        <v>1893367.66</v>
      </c>
      <c r="BA40" s="82">
        <v>1625217.09</v>
      </c>
      <c r="BB40" s="82">
        <v>1581490.56</v>
      </c>
      <c r="BC40" s="82">
        <v>1483267.94</v>
      </c>
      <c r="BD40" s="82">
        <v>1295190.57</v>
      </c>
      <c r="BE40" s="82">
        <v>1328587.96</v>
      </c>
      <c r="BF40" s="76">
        <v>21460544.959999997</v>
      </c>
    </row>
    <row r="41" spans="2:58" s="25" customFormat="1" ht="12" customHeight="1" outlineLevel="2" x14ac:dyDescent="0.2">
      <c r="B41" s="22"/>
      <c r="C41" s="23"/>
      <c r="D41" s="26" t="s">
        <v>86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1">
        <v>0</v>
      </c>
      <c r="Z41" s="21">
        <v>15837842.470000016</v>
      </c>
      <c r="AA41" s="21">
        <v>0</v>
      </c>
      <c r="AB41" s="21">
        <v>115818931.64780834</v>
      </c>
      <c r="AC41" s="50"/>
      <c r="AD41" s="50"/>
      <c r="AE41" s="50"/>
      <c r="AF41" s="50"/>
      <c r="AG41" s="57"/>
      <c r="AH41" s="63"/>
      <c r="AI41" s="69"/>
      <c r="AJ41" s="63"/>
      <c r="AK41" s="63"/>
      <c r="AL41" s="69"/>
      <c r="AM41" s="63"/>
      <c r="AN41" s="82"/>
      <c r="AO41" s="82"/>
      <c r="AP41" s="82"/>
      <c r="AQ41" s="82"/>
      <c r="AR41" s="82"/>
      <c r="AS41" s="76"/>
      <c r="AT41" s="57"/>
      <c r="AU41" s="63"/>
      <c r="AV41" s="69"/>
      <c r="AW41" s="63"/>
      <c r="AX41" s="63"/>
      <c r="AY41" s="69"/>
      <c r="AZ41" s="63"/>
      <c r="BA41" s="82"/>
      <c r="BB41" s="82"/>
      <c r="BC41" s="82"/>
      <c r="BD41" s="82"/>
      <c r="BE41" s="82"/>
      <c r="BF41" s="76"/>
    </row>
    <row r="42" spans="2:58" s="25" customFormat="1" ht="12" customHeight="1" outlineLevel="2" x14ac:dyDescent="0.2">
      <c r="B42" s="22"/>
      <c r="C42" s="23"/>
      <c r="D42" s="26" t="s">
        <v>68</v>
      </c>
      <c r="E42" s="27">
        <f>1195556+2796845+1984310+2725180+1329297.62+1924921.4+933774.72+1119072.33+1069.42</f>
        <v>14010026.490000002</v>
      </c>
      <c r="F42" s="18">
        <f>895349+212962+234950+84485+2174693.28+1228921.39+688446.62+682492.52+778758+138373.86</f>
        <v>7119431.6700000009</v>
      </c>
      <c r="G42" s="27">
        <f>8954688+2306130+1118436+1370682+594995+1328777+3026082+2205125</f>
        <v>20904915</v>
      </c>
      <c r="H42" s="18">
        <f>6727906+1469172+835220+726248+960394+162197+123849+206248+754188+103804</f>
        <v>12069226</v>
      </c>
      <c r="I42" s="27">
        <f>1448106+3281954+97273+12691684.14+2777970.34+1347316.58+2305880.03+1650984.09+1051140.51</f>
        <v>26652308.690000005</v>
      </c>
      <c r="J42" s="27">
        <f>160375.82+555700+929+8263637.23+1492818.58+860131.65+704772.8+979971.09+174393.62+139563.38</f>
        <v>13332293.170000002</v>
      </c>
      <c r="K42" s="27">
        <v>31124953.510000002</v>
      </c>
      <c r="L42" s="27">
        <v>11826855.509999998</v>
      </c>
      <c r="M42" s="27">
        <v>34397201.610000007</v>
      </c>
      <c r="N42" s="27">
        <v>9971817.9700000007</v>
      </c>
      <c r="O42" s="27">
        <v>34830110.869999997</v>
      </c>
      <c r="P42" s="27">
        <v>9354147.9199999999</v>
      </c>
      <c r="Q42" s="27">
        <v>34470305.150000006</v>
      </c>
      <c r="R42" s="27">
        <v>7545184.0899999989</v>
      </c>
      <c r="S42" s="27">
        <v>48744482.140000001</v>
      </c>
      <c r="T42" s="27">
        <v>6706695.6799999997</v>
      </c>
      <c r="U42" s="27">
        <v>52360382.629999995</v>
      </c>
      <c r="V42" s="27">
        <v>5115507.53</v>
      </c>
      <c r="W42" s="27">
        <v>44134803.440000005</v>
      </c>
      <c r="X42" s="27">
        <v>5144804.95</v>
      </c>
      <c r="Y42" s="21">
        <v>17666968.16</v>
      </c>
      <c r="Z42" s="21">
        <v>4712797.3099999996</v>
      </c>
      <c r="AA42" s="21">
        <v>23528468.740000002</v>
      </c>
      <c r="AB42" s="21">
        <v>4700876.5199999996</v>
      </c>
      <c r="AC42" s="50">
        <v>29741185.299999993</v>
      </c>
      <c r="AD42" s="50">
        <v>4651490.3800000008</v>
      </c>
      <c r="AE42" s="50">
        <v>25206569.649999995</v>
      </c>
      <c r="AF42" s="50">
        <v>5721010.1499999762</v>
      </c>
      <c r="AG42" s="57">
        <v>2126554.89</v>
      </c>
      <c r="AH42" s="63">
        <v>2197377.02</v>
      </c>
      <c r="AI42" s="69">
        <v>2222001.6899999976</v>
      </c>
      <c r="AJ42" s="63">
        <v>2252585.1899999976</v>
      </c>
      <c r="AK42" s="63">
        <v>2311012.91</v>
      </c>
      <c r="AL42" s="69">
        <v>2358258.9299999997</v>
      </c>
      <c r="AM42" s="63">
        <v>2429540.48</v>
      </c>
      <c r="AN42" s="82">
        <v>2469433.29</v>
      </c>
      <c r="AO42" s="82">
        <v>8651687.6600000001</v>
      </c>
      <c r="AP42" s="82">
        <v>8920807.7400000002</v>
      </c>
      <c r="AQ42" s="82">
        <v>9069426.4699999988</v>
      </c>
      <c r="AR42" s="82">
        <v>57401428.210000001</v>
      </c>
      <c r="AS42" s="76">
        <v>102410114.48000002</v>
      </c>
      <c r="AT42" s="57">
        <v>3868663.9800000042</v>
      </c>
      <c r="AU42" s="63">
        <v>7003382.599999994</v>
      </c>
      <c r="AV42" s="69">
        <v>7369458.6099999994</v>
      </c>
      <c r="AW42" s="63">
        <v>8577967.1299999952</v>
      </c>
      <c r="AX42" s="63">
        <v>13519863.640000001</v>
      </c>
      <c r="AY42" s="69">
        <v>14814081.66</v>
      </c>
      <c r="AZ42" s="63">
        <v>14365448.42</v>
      </c>
      <c r="BA42" s="82">
        <v>15017135.649999999</v>
      </c>
      <c r="BB42" s="82">
        <v>24087168.269999996</v>
      </c>
      <c r="BC42" s="82">
        <v>24723401.069999997</v>
      </c>
      <c r="BD42" s="82">
        <v>27319157.439999998</v>
      </c>
      <c r="BE42" s="82">
        <v>24685977.669999998</v>
      </c>
      <c r="BF42" s="76">
        <v>185351706.03999996</v>
      </c>
    </row>
    <row r="43" spans="2:58" s="25" customFormat="1" ht="12" customHeight="1" outlineLevel="2" x14ac:dyDescent="0.2">
      <c r="B43" s="22"/>
      <c r="C43" s="23"/>
      <c r="D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16998104.900000002</v>
      </c>
      <c r="M43" s="27">
        <v>44078369.400000006</v>
      </c>
      <c r="N43" s="27">
        <v>17306658.609999999</v>
      </c>
      <c r="O43" s="27">
        <v>33053801.108999997</v>
      </c>
      <c r="P43" s="27">
        <v>6386578.7400000002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/>
      <c r="X43" s="27"/>
      <c r="Y43" s="19"/>
      <c r="Z43" s="19"/>
      <c r="AA43" s="19"/>
      <c r="AB43" s="19"/>
      <c r="AC43" s="49"/>
      <c r="AD43" s="49"/>
      <c r="AE43" s="49"/>
      <c r="AF43" s="49"/>
      <c r="AG43" s="56"/>
      <c r="AH43" s="62"/>
      <c r="AI43" s="68"/>
      <c r="AJ43" s="62"/>
      <c r="AK43" s="62"/>
      <c r="AL43" s="68"/>
      <c r="AM43" s="62"/>
      <c r="AN43" s="81"/>
      <c r="AO43" s="81"/>
      <c r="AP43" s="81"/>
      <c r="AQ43" s="81"/>
      <c r="AR43" s="81"/>
      <c r="AS43" s="75"/>
      <c r="AT43" s="56"/>
      <c r="AU43" s="62"/>
      <c r="AV43" s="68"/>
      <c r="AW43" s="62"/>
      <c r="AX43" s="62"/>
      <c r="AY43" s="68"/>
      <c r="AZ43" s="62"/>
      <c r="BA43" s="81"/>
      <c r="BB43" s="81"/>
      <c r="BC43" s="81"/>
      <c r="BD43" s="81"/>
      <c r="BE43" s="81"/>
      <c r="BF43" s="75"/>
    </row>
    <row r="44" spans="2:58" s="25" customFormat="1" ht="12" customHeight="1" outlineLevel="2" x14ac:dyDescent="0.2">
      <c r="B44" s="22"/>
      <c r="C44" s="23"/>
      <c r="D44" s="26" t="s">
        <v>40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22482613.120000001</v>
      </c>
      <c r="O44" s="27">
        <v>44733973.989999995</v>
      </c>
      <c r="P44" s="27">
        <v>9923986.9900000021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19">
        <v>0</v>
      </c>
      <c r="Z44" s="19">
        <v>0</v>
      </c>
      <c r="AA44" s="19">
        <v>0</v>
      </c>
      <c r="AB44" s="19">
        <v>0</v>
      </c>
      <c r="AC44" s="49"/>
      <c r="AD44" s="49"/>
      <c r="AE44" s="49"/>
      <c r="AF44" s="49"/>
      <c r="AG44" s="56"/>
      <c r="AH44" s="62"/>
      <c r="AI44" s="68"/>
      <c r="AJ44" s="62"/>
      <c r="AK44" s="62"/>
      <c r="AL44" s="68"/>
      <c r="AM44" s="62"/>
      <c r="AN44" s="81"/>
      <c r="AO44" s="81"/>
      <c r="AP44" s="81"/>
      <c r="AQ44" s="81"/>
      <c r="AR44" s="81"/>
      <c r="AS44" s="75"/>
      <c r="AT44" s="56"/>
      <c r="AU44" s="62"/>
      <c r="AV44" s="68"/>
      <c r="AW44" s="62"/>
      <c r="AX44" s="62"/>
      <c r="AY44" s="68"/>
      <c r="AZ44" s="62"/>
      <c r="BA44" s="81"/>
      <c r="BB44" s="81"/>
      <c r="BC44" s="81"/>
      <c r="BD44" s="81"/>
      <c r="BE44" s="81"/>
      <c r="BF44" s="75"/>
    </row>
    <row r="45" spans="2:58" s="25" customFormat="1" ht="12" customHeight="1" outlineLevel="2" x14ac:dyDescent="0.2">
      <c r="B45" s="22"/>
      <c r="C45" s="23"/>
      <c r="D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9225371.2200000007</v>
      </c>
      <c r="P45" s="27">
        <v>12033092.890000001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9">
        <v>0</v>
      </c>
      <c r="Z45" s="19">
        <v>0</v>
      </c>
      <c r="AA45" s="19">
        <v>0</v>
      </c>
      <c r="AB45" s="19">
        <v>0</v>
      </c>
      <c r="AC45" s="49"/>
      <c r="AD45" s="49"/>
      <c r="AE45" s="49"/>
      <c r="AF45" s="49"/>
      <c r="AG45" s="56"/>
      <c r="AH45" s="62"/>
      <c r="AI45" s="68"/>
      <c r="AJ45" s="62"/>
      <c r="AK45" s="62"/>
      <c r="AL45" s="68"/>
      <c r="AM45" s="62"/>
      <c r="AN45" s="81"/>
      <c r="AO45" s="81"/>
      <c r="AP45" s="81"/>
      <c r="AQ45" s="81"/>
      <c r="AR45" s="81"/>
      <c r="AS45" s="75"/>
      <c r="AT45" s="56"/>
      <c r="AU45" s="62"/>
      <c r="AV45" s="68"/>
      <c r="AW45" s="62"/>
      <c r="AX45" s="62"/>
      <c r="AY45" s="68"/>
      <c r="AZ45" s="62"/>
      <c r="BA45" s="81"/>
      <c r="BB45" s="81"/>
      <c r="BC45" s="81"/>
      <c r="BD45" s="81"/>
      <c r="BE45" s="81"/>
      <c r="BF45" s="75"/>
    </row>
    <row r="46" spans="2:58" s="25" customFormat="1" ht="12" customHeight="1" outlineLevel="2" x14ac:dyDescent="0.2">
      <c r="B46" s="22"/>
      <c r="C46" s="23"/>
      <c r="D46" s="26" t="s">
        <v>97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19"/>
      <c r="AA46" s="19"/>
      <c r="AB46" s="19"/>
      <c r="AC46" s="49"/>
      <c r="AD46" s="49"/>
      <c r="AE46" s="49">
        <v>0</v>
      </c>
      <c r="AF46" s="50">
        <v>467445241.69</v>
      </c>
      <c r="AG46" s="56">
        <v>0</v>
      </c>
      <c r="AH46" s="62">
        <v>0</v>
      </c>
      <c r="AI46" s="68">
        <v>66126590.049999997</v>
      </c>
      <c r="AJ46" s="62">
        <v>66126590.049999997</v>
      </c>
      <c r="AK46" s="62">
        <v>66126590.049999997</v>
      </c>
      <c r="AL46" s="68">
        <v>66126590.049999997</v>
      </c>
      <c r="AM46" s="62">
        <v>66126590.049999997</v>
      </c>
      <c r="AN46" s="81">
        <v>66126590.049999997</v>
      </c>
      <c r="AO46" s="81">
        <v>66126590.049999997</v>
      </c>
      <c r="AP46" s="81">
        <v>66126590.049999997</v>
      </c>
      <c r="AQ46" s="81">
        <v>66126590.049999997</v>
      </c>
      <c r="AR46" s="81">
        <v>66126590.049999997</v>
      </c>
      <c r="AS46" s="75">
        <v>661265900.50023806</v>
      </c>
      <c r="AT46" s="56">
        <v>124827073.45</v>
      </c>
      <c r="AU46" s="62">
        <v>93877111.780000001</v>
      </c>
      <c r="AV46" s="68">
        <v>81231760.200000003</v>
      </c>
      <c r="AW46" s="62">
        <v>107704815.84999999</v>
      </c>
      <c r="AX46" s="62">
        <v>112324618.72</v>
      </c>
      <c r="AY46" s="68">
        <v>104234981.56</v>
      </c>
      <c r="AZ46" s="62">
        <v>108339132.90000001</v>
      </c>
      <c r="BA46" s="81">
        <v>100800022.25</v>
      </c>
      <c r="BB46" s="81">
        <v>116382345.56999999</v>
      </c>
      <c r="BC46" s="81">
        <v>117203719.34</v>
      </c>
      <c r="BD46" s="81">
        <v>89427833.989999995</v>
      </c>
      <c r="BE46" s="81">
        <v>85254385.609999999</v>
      </c>
      <c r="BF46" s="76">
        <v>1241607801.22</v>
      </c>
    </row>
    <row r="47" spans="2:58" s="25" customFormat="1" ht="12" customHeight="1" outlineLevel="2" x14ac:dyDescent="0.2">
      <c r="B47" s="22"/>
      <c r="C47" s="23"/>
      <c r="D47" s="53" t="s">
        <v>99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9"/>
      <c r="Z47" s="19"/>
      <c r="AA47" s="19"/>
      <c r="AB47" s="19"/>
      <c r="AC47" s="49"/>
      <c r="AD47" s="49"/>
      <c r="AE47" s="49"/>
      <c r="AF47" s="50"/>
      <c r="AG47" s="56">
        <v>0</v>
      </c>
      <c r="AH47" s="62">
        <v>0</v>
      </c>
      <c r="AI47" s="68">
        <v>0</v>
      </c>
      <c r="AJ47" s="62">
        <v>0</v>
      </c>
      <c r="AK47" s="62">
        <v>0</v>
      </c>
      <c r="AL47" s="68">
        <v>0</v>
      </c>
      <c r="AM47" s="62">
        <v>0</v>
      </c>
      <c r="AN47" s="81">
        <v>0</v>
      </c>
      <c r="AO47" s="81">
        <v>0</v>
      </c>
      <c r="AP47" s="81">
        <v>0</v>
      </c>
      <c r="AQ47" s="81">
        <v>0</v>
      </c>
      <c r="AR47" s="81">
        <v>0</v>
      </c>
      <c r="AS47" s="75">
        <v>0</v>
      </c>
      <c r="AT47" s="56">
        <v>0</v>
      </c>
      <c r="AU47" s="62">
        <v>0</v>
      </c>
      <c r="AV47" s="68">
        <v>0</v>
      </c>
      <c r="AW47" s="62">
        <v>0</v>
      </c>
      <c r="AX47" s="62">
        <v>0</v>
      </c>
      <c r="AY47" s="68">
        <v>0</v>
      </c>
      <c r="AZ47" s="62">
        <v>0</v>
      </c>
      <c r="BA47" s="81">
        <v>0</v>
      </c>
      <c r="BB47" s="81">
        <v>0</v>
      </c>
      <c r="BC47" s="81">
        <v>0</v>
      </c>
      <c r="BD47" s="81">
        <v>0</v>
      </c>
      <c r="BE47" s="81">
        <v>0</v>
      </c>
      <c r="BF47" s="76">
        <v>0</v>
      </c>
    </row>
    <row r="48" spans="2:58" s="25" customFormat="1" ht="12" customHeight="1" outlineLevel="1" x14ac:dyDescent="0.2">
      <c r="B48" s="28"/>
      <c r="C48" s="16"/>
      <c r="D48" s="1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38"/>
      <c r="V48" s="38"/>
      <c r="W48" s="38"/>
      <c r="X48" s="38"/>
      <c r="Y48" s="19"/>
      <c r="Z48" s="19"/>
      <c r="AA48" s="19"/>
      <c r="AB48" s="19"/>
      <c r="AC48" s="49"/>
      <c r="AD48" s="49"/>
      <c r="AE48" s="49"/>
      <c r="AF48" s="49"/>
      <c r="AG48" s="56"/>
      <c r="AH48" s="62"/>
      <c r="AI48" s="68"/>
      <c r="AJ48" s="62"/>
      <c r="AK48" s="62"/>
      <c r="AL48" s="68"/>
      <c r="AM48" s="62"/>
      <c r="AN48" s="81"/>
      <c r="AO48" s="81"/>
      <c r="AP48" s="81"/>
      <c r="AQ48" s="81"/>
      <c r="AR48" s="81"/>
      <c r="AS48" s="75"/>
      <c r="AT48" s="56"/>
      <c r="AU48" s="62"/>
      <c r="AV48" s="68"/>
      <c r="AW48" s="62"/>
      <c r="AX48" s="62"/>
      <c r="AY48" s="68"/>
      <c r="AZ48" s="62"/>
      <c r="BA48" s="81"/>
      <c r="BB48" s="81"/>
      <c r="BC48" s="81"/>
      <c r="BD48" s="81"/>
      <c r="BE48" s="81"/>
      <c r="BF48" s="75"/>
    </row>
    <row r="49" spans="2:58" s="25" customFormat="1" ht="12" customHeight="1" outlineLevel="2" x14ac:dyDescent="0.2">
      <c r="B49" s="22"/>
      <c r="C49" s="23" t="s">
        <v>42</v>
      </c>
      <c r="D49" s="24"/>
      <c r="E49" s="18">
        <f>SUM(E50)</f>
        <v>320055</v>
      </c>
      <c r="F49" s="18">
        <f>SUM(F50:F51)</f>
        <v>76804</v>
      </c>
      <c r="G49" s="18">
        <f>SUM(G50)</f>
        <v>119485</v>
      </c>
      <c r="H49" s="18">
        <f>SUM(H50:H51)</f>
        <v>9367</v>
      </c>
      <c r="I49" s="18">
        <f>SUM(I50)</f>
        <v>725</v>
      </c>
      <c r="J49" s="18">
        <f>SUM(J50:J51)</f>
        <v>15.22</v>
      </c>
      <c r="K49" s="18">
        <f>SUM(K50)</f>
        <v>0</v>
      </c>
      <c r="L49" s="18">
        <f>SUM(L50:L51)</f>
        <v>0</v>
      </c>
      <c r="M49" s="18">
        <f>SUM(M50)</f>
        <v>0</v>
      </c>
      <c r="N49" s="18">
        <f>SUM(N50:N51)</f>
        <v>0</v>
      </c>
      <c r="O49" s="18">
        <f>SUM(O50)</f>
        <v>0</v>
      </c>
      <c r="P49" s="18">
        <f>SUM(P50:P51)</f>
        <v>0</v>
      </c>
      <c r="Q49" s="18">
        <f>SUM(Q50)</f>
        <v>0</v>
      </c>
      <c r="R49" s="18">
        <f t="shared" ref="R49:X49" si="10">SUM(R50:R51)</f>
        <v>17398.486106442288</v>
      </c>
      <c r="S49" s="18">
        <f t="shared" si="10"/>
        <v>32860000</v>
      </c>
      <c r="T49" s="18">
        <f t="shared" si="10"/>
        <v>2601039.9836842106</v>
      </c>
      <c r="U49" s="18">
        <f t="shared" si="10"/>
        <v>0</v>
      </c>
      <c r="V49" s="18">
        <f t="shared" si="10"/>
        <v>0</v>
      </c>
      <c r="W49" s="18">
        <f t="shared" si="10"/>
        <v>0</v>
      </c>
      <c r="X49" s="18">
        <f t="shared" si="10"/>
        <v>0</v>
      </c>
      <c r="Y49" s="19">
        <f t="shared" ref="Y49:AB49" si="11">SUM(Y50:Y51)</f>
        <v>0</v>
      </c>
      <c r="Z49" s="19">
        <f t="shared" si="11"/>
        <v>0</v>
      </c>
      <c r="AA49" s="19">
        <f t="shared" si="11"/>
        <v>0</v>
      </c>
      <c r="AB49" s="19">
        <f t="shared" si="11"/>
        <v>0</v>
      </c>
      <c r="AC49" s="49"/>
      <c r="AD49" s="49"/>
      <c r="AE49" s="49"/>
      <c r="AF49" s="49"/>
      <c r="AG49" s="56"/>
      <c r="AH49" s="62"/>
      <c r="AI49" s="68"/>
      <c r="AJ49" s="62"/>
      <c r="AK49" s="62"/>
      <c r="AL49" s="68"/>
      <c r="AM49" s="62"/>
      <c r="AN49" s="81"/>
      <c r="AO49" s="81"/>
      <c r="AP49" s="81"/>
      <c r="AQ49" s="81"/>
      <c r="AR49" s="81"/>
      <c r="AS49" s="75"/>
      <c r="AT49" s="56"/>
      <c r="AU49" s="62"/>
      <c r="AV49" s="68"/>
      <c r="AW49" s="62"/>
      <c r="AX49" s="62"/>
      <c r="AY49" s="68"/>
      <c r="AZ49" s="62"/>
      <c r="BA49" s="81"/>
      <c r="BB49" s="81"/>
      <c r="BC49" s="81"/>
      <c r="BD49" s="81"/>
      <c r="BE49" s="81"/>
      <c r="BF49" s="75"/>
    </row>
    <row r="50" spans="2:58" s="25" customFormat="1" ht="12" customHeight="1" outlineLevel="2" x14ac:dyDescent="0.2">
      <c r="B50" s="22"/>
      <c r="C50" s="23"/>
      <c r="D50" s="26" t="s">
        <v>2</v>
      </c>
      <c r="E50" s="27">
        <v>320055</v>
      </c>
      <c r="F50" s="27">
        <v>76804</v>
      </c>
      <c r="G50" s="27">
        <v>119485</v>
      </c>
      <c r="H50" s="27">
        <v>9367</v>
      </c>
      <c r="I50" s="27">
        <v>725</v>
      </c>
      <c r="J50" s="27">
        <v>15.22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19">
        <v>0</v>
      </c>
      <c r="Z50" s="19">
        <v>0</v>
      </c>
      <c r="AA50" s="19">
        <v>0</v>
      </c>
      <c r="AB50" s="19">
        <v>0</v>
      </c>
      <c r="AC50" s="49"/>
      <c r="AD50" s="49"/>
      <c r="AE50" s="49"/>
      <c r="AF50" s="49"/>
      <c r="AG50" s="56"/>
      <c r="AH50" s="62"/>
      <c r="AI50" s="68"/>
      <c r="AJ50" s="62"/>
      <c r="AK50" s="62"/>
      <c r="AL50" s="68"/>
      <c r="AM50" s="62"/>
      <c r="AN50" s="81"/>
      <c r="AO50" s="81"/>
      <c r="AP50" s="81"/>
      <c r="AQ50" s="81"/>
      <c r="AR50" s="81"/>
      <c r="AS50" s="75"/>
      <c r="AT50" s="56"/>
      <c r="AU50" s="62"/>
      <c r="AV50" s="68"/>
      <c r="AW50" s="62"/>
      <c r="AX50" s="62"/>
      <c r="AY50" s="68"/>
      <c r="AZ50" s="62"/>
      <c r="BA50" s="81"/>
      <c r="BB50" s="81"/>
      <c r="BC50" s="81"/>
      <c r="BD50" s="81"/>
      <c r="BE50" s="81"/>
      <c r="BF50" s="75"/>
    </row>
    <row r="51" spans="2:58" s="25" customFormat="1" ht="12" customHeight="1" outlineLevel="2" x14ac:dyDescent="0.2">
      <c r="B51" s="22"/>
      <c r="C51" s="23"/>
      <c r="D51" s="26" t="s">
        <v>63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17398.486106442288</v>
      </c>
      <c r="S51" s="27">
        <v>32860000</v>
      </c>
      <c r="T51" s="27">
        <v>2601039.9836842106</v>
      </c>
      <c r="U51" s="27">
        <v>0</v>
      </c>
      <c r="V51" s="27">
        <v>0</v>
      </c>
      <c r="W51" s="27">
        <v>0</v>
      </c>
      <c r="X51" s="27">
        <v>0</v>
      </c>
      <c r="Y51" s="19">
        <v>0</v>
      </c>
      <c r="Z51" s="19">
        <v>0</v>
      </c>
      <c r="AA51" s="19">
        <v>0</v>
      </c>
      <c r="AB51" s="19">
        <v>0</v>
      </c>
      <c r="AC51" s="49"/>
      <c r="AD51" s="49"/>
      <c r="AE51" s="49"/>
      <c r="AF51" s="49"/>
      <c r="AG51" s="56"/>
      <c r="AH51" s="62"/>
      <c r="AI51" s="68"/>
      <c r="AJ51" s="62"/>
      <c r="AK51" s="62"/>
      <c r="AL51" s="68"/>
      <c r="AM51" s="62"/>
      <c r="AN51" s="81"/>
      <c r="AO51" s="81"/>
      <c r="AP51" s="81"/>
      <c r="AQ51" s="81"/>
      <c r="AR51" s="81"/>
      <c r="AS51" s="75"/>
      <c r="AT51" s="56"/>
      <c r="AU51" s="62"/>
      <c r="AV51" s="68"/>
      <c r="AW51" s="62"/>
      <c r="AX51" s="62"/>
      <c r="AY51" s="68"/>
      <c r="AZ51" s="62"/>
      <c r="BA51" s="81"/>
      <c r="BB51" s="81"/>
      <c r="BC51" s="81"/>
      <c r="BD51" s="81"/>
      <c r="BE51" s="81"/>
      <c r="BF51" s="75"/>
    </row>
    <row r="52" spans="2:58" s="25" customFormat="1" ht="12" customHeight="1" outlineLevel="1" x14ac:dyDescent="0.2">
      <c r="B52" s="28"/>
      <c r="C52" s="16"/>
      <c r="D52" s="1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38"/>
      <c r="Y52" s="19"/>
      <c r="Z52" s="19"/>
      <c r="AA52" s="19"/>
      <c r="AB52" s="19"/>
      <c r="AC52" s="49"/>
      <c r="AD52" s="49"/>
      <c r="AE52" s="49"/>
      <c r="AF52" s="49"/>
      <c r="AG52" s="56"/>
      <c r="AH52" s="62"/>
      <c r="AI52" s="68"/>
      <c r="AJ52" s="62"/>
      <c r="AK52" s="62"/>
      <c r="AL52" s="68"/>
      <c r="AM52" s="62"/>
      <c r="AN52" s="81"/>
      <c r="AO52" s="81"/>
      <c r="AP52" s="81"/>
      <c r="AQ52" s="81"/>
      <c r="AR52" s="81"/>
      <c r="AS52" s="75"/>
      <c r="AT52" s="56"/>
      <c r="AU52" s="62"/>
      <c r="AV52" s="68"/>
      <c r="AW52" s="62"/>
      <c r="AX52" s="62"/>
      <c r="AY52" s="68"/>
      <c r="AZ52" s="62"/>
      <c r="BA52" s="81"/>
      <c r="BB52" s="81"/>
      <c r="BC52" s="81"/>
      <c r="BD52" s="81"/>
      <c r="BE52" s="81"/>
      <c r="BF52" s="75"/>
    </row>
    <row r="53" spans="2:58" s="25" customFormat="1" ht="12" customHeight="1" outlineLevel="2" x14ac:dyDescent="0.2">
      <c r="B53" s="22"/>
      <c r="C53" s="23" t="s">
        <v>43</v>
      </c>
      <c r="D53" s="24"/>
      <c r="E53" s="18">
        <f t="shared" ref="E53:P53" si="12">SUM(E54)</f>
        <v>683828</v>
      </c>
      <c r="F53" s="18">
        <f t="shared" si="12"/>
        <v>19771</v>
      </c>
      <c r="G53" s="18">
        <f t="shared" si="12"/>
        <v>552092</v>
      </c>
      <c r="H53" s="18">
        <f t="shared" si="12"/>
        <v>5243</v>
      </c>
      <c r="I53" s="18">
        <f t="shared" si="12"/>
        <v>200097</v>
      </c>
      <c r="J53" s="18">
        <f t="shared" si="12"/>
        <v>16156.2</v>
      </c>
      <c r="K53" s="18">
        <f t="shared" si="12"/>
        <v>0</v>
      </c>
      <c r="L53" s="18">
        <f t="shared" si="12"/>
        <v>0</v>
      </c>
      <c r="M53" s="18">
        <f t="shared" si="12"/>
        <v>0</v>
      </c>
      <c r="N53" s="18">
        <f t="shared" si="12"/>
        <v>0</v>
      </c>
      <c r="O53" s="18">
        <f t="shared" si="12"/>
        <v>0</v>
      </c>
      <c r="P53" s="18">
        <f t="shared" si="12"/>
        <v>0</v>
      </c>
      <c r="Q53" s="18">
        <f t="shared" ref="Q53:Z53" si="13">SUM(Q54)</f>
        <v>0</v>
      </c>
      <c r="R53" s="18">
        <f t="shared" si="13"/>
        <v>0</v>
      </c>
      <c r="S53" s="18">
        <f t="shared" si="13"/>
        <v>0</v>
      </c>
      <c r="T53" s="18">
        <f t="shared" si="13"/>
        <v>0</v>
      </c>
      <c r="U53" s="18">
        <f t="shared" si="13"/>
        <v>0</v>
      </c>
      <c r="V53" s="18">
        <f t="shared" si="13"/>
        <v>0</v>
      </c>
      <c r="W53" s="18">
        <f t="shared" si="13"/>
        <v>0</v>
      </c>
      <c r="X53" s="18">
        <f t="shared" si="13"/>
        <v>0</v>
      </c>
      <c r="Y53" s="19">
        <f t="shared" si="13"/>
        <v>0</v>
      </c>
      <c r="Z53" s="19">
        <f t="shared" si="13"/>
        <v>0</v>
      </c>
      <c r="AA53" s="19">
        <f>SUM(AA54)</f>
        <v>0</v>
      </c>
      <c r="AB53" s="19">
        <f>SUM(AB54)</f>
        <v>0</v>
      </c>
      <c r="AC53" s="49"/>
      <c r="AD53" s="49"/>
      <c r="AE53" s="49"/>
      <c r="AF53" s="49"/>
      <c r="AG53" s="56"/>
      <c r="AH53" s="62"/>
      <c r="AI53" s="68"/>
      <c r="AJ53" s="62"/>
      <c r="AK53" s="62"/>
      <c r="AL53" s="68"/>
      <c r="AM53" s="62"/>
      <c r="AN53" s="81"/>
      <c r="AO53" s="81"/>
      <c r="AP53" s="81"/>
      <c r="AQ53" s="81"/>
      <c r="AR53" s="81"/>
      <c r="AS53" s="75"/>
      <c r="AT53" s="56"/>
      <c r="AU53" s="62"/>
      <c r="AV53" s="68"/>
      <c r="AW53" s="62"/>
      <c r="AX53" s="62"/>
      <c r="AY53" s="68"/>
      <c r="AZ53" s="62"/>
      <c r="BA53" s="81"/>
      <c r="BB53" s="81"/>
      <c r="BC53" s="81"/>
      <c r="BD53" s="81"/>
      <c r="BE53" s="81"/>
      <c r="BF53" s="75"/>
    </row>
    <row r="54" spans="2:58" s="25" customFormat="1" ht="12" customHeight="1" outlineLevel="1" x14ac:dyDescent="0.2">
      <c r="B54" s="28"/>
      <c r="C54" s="16"/>
      <c r="D54" s="84" t="s">
        <v>44</v>
      </c>
      <c r="E54" s="21">
        <v>683828</v>
      </c>
      <c r="F54" s="21">
        <v>19771</v>
      </c>
      <c r="G54" s="21">
        <v>552092</v>
      </c>
      <c r="H54" s="21">
        <v>5243</v>
      </c>
      <c r="I54" s="21">
        <v>200097</v>
      </c>
      <c r="J54" s="21">
        <v>16156.2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38">
        <v>0</v>
      </c>
      <c r="V54" s="38">
        <v>0</v>
      </c>
      <c r="W54" s="38">
        <v>0</v>
      </c>
      <c r="X54" s="38">
        <v>0</v>
      </c>
      <c r="Y54" s="19">
        <v>0</v>
      </c>
      <c r="Z54" s="19">
        <v>0</v>
      </c>
      <c r="AA54" s="19">
        <v>0</v>
      </c>
      <c r="AB54" s="19">
        <v>0</v>
      </c>
      <c r="AC54" s="49"/>
      <c r="AD54" s="49"/>
      <c r="AE54" s="49"/>
      <c r="AF54" s="49"/>
      <c r="AG54" s="56"/>
      <c r="AH54" s="62"/>
      <c r="AI54" s="68"/>
      <c r="AJ54" s="62"/>
      <c r="AK54" s="62"/>
      <c r="AL54" s="68"/>
      <c r="AM54" s="62"/>
      <c r="AN54" s="81"/>
      <c r="AO54" s="81"/>
      <c r="AP54" s="81"/>
      <c r="AQ54" s="81"/>
      <c r="AR54" s="81"/>
      <c r="AS54" s="75"/>
      <c r="AT54" s="56"/>
      <c r="AU54" s="62"/>
      <c r="AV54" s="68"/>
      <c r="AW54" s="62"/>
      <c r="AX54" s="62"/>
      <c r="AY54" s="68"/>
      <c r="AZ54" s="62"/>
      <c r="BA54" s="81"/>
      <c r="BB54" s="81"/>
      <c r="BC54" s="81"/>
      <c r="BD54" s="81"/>
      <c r="BE54" s="81"/>
      <c r="BF54" s="75"/>
    </row>
    <row r="55" spans="2:58" s="25" customFormat="1" ht="12" customHeight="1" outlineLevel="1" x14ac:dyDescent="0.2">
      <c r="B55" s="28"/>
      <c r="C55" s="16"/>
      <c r="D55" s="17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38"/>
      <c r="Y55" s="19"/>
      <c r="Z55" s="19"/>
      <c r="AA55" s="19"/>
      <c r="AB55" s="19"/>
      <c r="AC55" s="49"/>
      <c r="AD55" s="49"/>
      <c r="AE55" s="49"/>
      <c r="AF55" s="49"/>
      <c r="AG55" s="56"/>
      <c r="AH55" s="62"/>
      <c r="AI55" s="68"/>
      <c r="AJ55" s="62"/>
      <c r="AK55" s="62"/>
      <c r="AL55" s="68"/>
      <c r="AM55" s="62"/>
      <c r="AN55" s="81"/>
      <c r="AO55" s="81"/>
      <c r="AP55" s="81"/>
      <c r="AQ55" s="81"/>
      <c r="AR55" s="81"/>
      <c r="AS55" s="75"/>
      <c r="AT55" s="56"/>
      <c r="AU55" s="62"/>
      <c r="AV55" s="68"/>
      <c r="AW55" s="62"/>
      <c r="AX55" s="62"/>
      <c r="AY55" s="68"/>
      <c r="AZ55" s="62"/>
      <c r="BA55" s="81"/>
      <c r="BB55" s="81"/>
      <c r="BC55" s="81"/>
      <c r="BD55" s="81"/>
      <c r="BE55" s="81"/>
      <c r="BF55" s="75"/>
    </row>
    <row r="56" spans="2:58" s="25" customFormat="1" ht="12" customHeight="1" outlineLevel="2" x14ac:dyDescent="0.2">
      <c r="B56" s="22"/>
      <c r="C56" s="23" t="s">
        <v>45</v>
      </c>
      <c r="D56" s="24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39"/>
      <c r="V56" s="39"/>
      <c r="W56" s="39"/>
      <c r="X56" s="39"/>
      <c r="Y56" s="19"/>
      <c r="Z56" s="19"/>
      <c r="AA56" s="19"/>
      <c r="AB56" s="19"/>
      <c r="AC56" s="49"/>
      <c r="AD56" s="49"/>
      <c r="AE56" s="49"/>
      <c r="AF56" s="49"/>
      <c r="AG56" s="56"/>
      <c r="AH56" s="62"/>
      <c r="AI56" s="68"/>
      <c r="AJ56" s="62"/>
      <c r="AK56" s="62"/>
      <c r="AL56" s="68"/>
      <c r="AM56" s="62"/>
      <c r="AN56" s="81"/>
      <c r="AO56" s="81"/>
      <c r="AP56" s="81"/>
      <c r="AQ56" s="81"/>
      <c r="AR56" s="81"/>
      <c r="AS56" s="75"/>
      <c r="AT56" s="56"/>
      <c r="AU56" s="62"/>
      <c r="AV56" s="68"/>
      <c r="AW56" s="62"/>
      <c r="AX56" s="62"/>
      <c r="AY56" s="68"/>
      <c r="AZ56" s="62"/>
      <c r="BA56" s="81"/>
      <c r="BB56" s="81"/>
      <c r="BC56" s="81"/>
      <c r="BD56" s="81"/>
      <c r="BE56" s="81"/>
      <c r="BF56" s="75"/>
    </row>
    <row r="57" spans="2:58" s="25" customFormat="1" ht="12" customHeight="1" x14ac:dyDescent="0.2">
      <c r="B57" s="22"/>
      <c r="C57" s="23"/>
      <c r="D57" s="26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  <c r="V57" s="39"/>
      <c r="W57" s="39"/>
      <c r="X57" s="39"/>
      <c r="Y57" s="19"/>
      <c r="Z57" s="19"/>
      <c r="AA57" s="19"/>
      <c r="AB57" s="19"/>
      <c r="AC57" s="49"/>
      <c r="AD57" s="49"/>
      <c r="AE57" s="49"/>
      <c r="AF57" s="49"/>
      <c r="AG57" s="56"/>
      <c r="AH57" s="62"/>
      <c r="AI57" s="68"/>
      <c r="AJ57" s="62"/>
      <c r="AK57" s="62"/>
      <c r="AL57" s="68"/>
      <c r="AM57" s="62"/>
      <c r="AN57" s="81"/>
      <c r="AO57" s="81"/>
      <c r="AP57" s="81"/>
      <c r="AQ57" s="81"/>
      <c r="AR57" s="81"/>
      <c r="AS57" s="75"/>
      <c r="AT57" s="56"/>
      <c r="AU57" s="62"/>
      <c r="AV57" s="68"/>
      <c r="AW57" s="62"/>
      <c r="AX57" s="62"/>
      <c r="AY57" s="68"/>
      <c r="AZ57" s="62"/>
      <c r="BA57" s="81"/>
      <c r="BB57" s="81"/>
      <c r="BC57" s="81"/>
      <c r="BD57" s="81"/>
      <c r="BE57" s="81"/>
      <c r="BF57" s="75"/>
    </row>
    <row r="58" spans="2:58" s="14" customFormat="1" ht="12" customHeight="1" x14ac:dyDescent="0.2">
      <c r="B58" s="22"/>
      <c r="C58" s="23"/>
      <c r="D58" s="2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  <c r="V58" s="39"/>
      <c r="W58" s="39"/>
      <c r="X58" s="39"/>
      <c r="Y58" s="19"/>
      <c r="Z58" s="19"/>
      <c r="AA58" s="19"/>
      <c r="AB58" s="19"/>
      <c r="AC58" s="49"/>
      <c r="AD58" s="49"/>
      <c r="AE58" s="49"/>
      <c r="AF58" s="49"/>
      <c r="AG58" s="56"/>
      <c r="AH58" s="62"/>
      <c r="AI58" s="68"/>
      <c r="AJ58" s="62"/>
      <c r="AK58" s="62"/>
      <c r="AL58" s="68"/>
      <c r="AM58" s="62"/>
      <c r="AN58" s="81"/>
      <c r="AO58" s="81"/>
      <c r="AP58" s="81"/>
      <c r="AQ58" s="81"/>
      <c r="AR58" s="81"/>
      <c r="AS58" s="75"/>
      <c r="AT58" s="56"/>
      <c r="AU58" s="62"/>
      <c r="AV58" s="68"/>
      <c r="AW58" s="62"/>
      <c r="AX58" s="62"/>
      <c r="AY58" s="68"/>
      <c r="AZ58" s="62"/>
      <c r="BA58" s="81"/>
      <c r="BB58" s="81"/>
      <c r="BC58" s="81"/>
      <c r="BD58" s="81"/>
      <c r="BE58" s="81"/>
      <c r="BF58" s="75"/>
    </row>
    <row r="59" spans="2:58" s="14" customFormat="1" ht="12" customHeight="1" outlineLevel="1" x14ac:dyDescent="0.2">
      <c r="B59" s="15" t="s">
        <v>46</v>
      </c>
      <c r="C59" s="16"/>
      <c r="D59" s="17"/>
      <c r="E59" s="18">
        <f t="shared" ref="E59:P59" si="14">+E61+E92+E104</f>
        <v>118384193</v>
      </c>
      <c r="F59" s="19">
        <f t="shared" si="14"/>
        <v>134365731.18000001</v>
      </c>
      <c r="G59" s="18">
        <f t="shared" si="14"/>
        <v>173677659</v>
      </c>
      <c r="H59" s="19">
        <f t="shared" si="14"/>
        <v>91166275</v>
      </c>
      <c r="I59" s="18">
        <f t="shared" si="14"/>
        <v>202942770.15000001</v>
      </c>
      <c r="J59" s="19">
        <f t="shared" si="14"/>
        <v>101402493.19</v>
      </c>
      <c r="K59" s="18">
        <f t="shared" si="14"/>
        <v>225527046.89053506</v>
      </c>
      <c r="L59" s="19">
        <f t="shared" si="14"/>
        <v>94056067.107459933</v>
      </c>
      <c r="M59" s="18">
        <f t="shared" si="14"/>
        <v>262443915.78548828</v>
      </c>
      <c r="N59" s="19">
        <f t="shared" si="14"/>
        <v>106216071.02666919</v>
      </c>
      <c r="O59" s="18">
        <f t="shared" si="14"/>
        <v>381146621.58684361</v>
      </c>
      <c r="P59" s="19">
        <f t="shared" si="14"/>
        <v>153393683.61339355</v>
      </c>
      <c r="Q59" s="18">
        <f t="shared" ref="Q59:AB59" si="15">+Q61+Q92+Q104+Q115</f>
        <v>366811620.61261851</v>
      </c>
      <c r="R59" s="19">
        <f t="shared" si="15"/>
        <v>453222671.758237</v>
      </c>
      <c r="S59" s="18">
        <f t="shared" si="15"/>
        <v>399569316.75778925</v>
      </c>
      <c r="T59" s="19">
        <f t="shared" si="15"/>
        <v>479592787.39539659</v>
      </c>
      <c r="U59" s="19">
        <f t="shared" si="15"/>
        <v>1629586790.1164184</v>
      </c>
      <c r="V59" s="19">
        <f t="shared" si="15"/>
        <v>648347714.94889045</v>
      </c>
      <c r="W59" s="19">
        <f t="shared" si="15"/>
        <v>728152507.48090005</v>
      </c>
      <c r="X59" s="19">
        <f t="shared" si="15"/>
        <v>795821531.49142945</v>
      </c>
      <c r="Y59" s="19">
        <f t="shared" si="15"/>
        <v>820797849.98000002</v>
      </c>
      <c r="Z59" s="19">
        <f t="shared" si="15"/>
        <v>857620447.29399991</v>
      </c>
      <c r="AA59" s="19">
        <f t="shared" si="15"/>
        <v>1006162317.1299999</v>
      </c>
      <c r="AB59" s="19">
        <f t="shared" si="15"/>
        <v>1795595308.5929406</v>
      </c>
      <c r="AC59" s="49">
        <v>8115976742.001894</v>
      </c>
      <c r="AD59" s="49">
        <v>2592037314.7822881</v>
      </c>
      <c r="AE59" s="49">
        <v>1204900017.2800002</v>
      </c>
      <c r="AF59" s="49">
        <v>5004132173.0587234</v>
      </c>
      <c r="AG59" s="56">
        <v>360203071.91172957</v>
      </c>
      <c r="AH59" s="62">
        <v>273909721.52570003</v>
      </c>
      <c r="AI59" s="68">
        <v>79226480.179278776</v>
      </c>
      <c r="AJ59" s="62">
        <v>416915325.69858146</v>
      </c>
      <c r="AK59" s="62">
        <v>441031797.19035965</v>
      </c>
      <c r="AL59" s="68">
        <v>7223859.8200000003</v>
      </c>
      <c r="AM59" s="62">
        <v>406708933.07080001</v>
      </c>
      <c r="AN59" s="81">
        <v>317499492.06853479</v>
      </c>
      <c r="AO59" s="81">
        <v>108107966.25559999</v>
      </c>
      <c r="AP59" s="81">
        <v>579289969.4526</v>
      </c>
      <c r="AQ59" s="81">
        <v>1440021309.8240345</v>
      </c>
      <c r="AR59" s="81">
        <v>22368039.875355341</v>
      </c>
      <c r="AS59" s="75">
        <v>4452505966.7800007</v>
      </c>
      <c r="AT59" s="56">
        <v>838966213.07700276</v>
      </c>
      <c r="AU59" s="62">
        <v>877597831.90859997</v>
      </c>
      <c r="AV59" s="68">
        <v>26524044.653035652</v>
      </c>
      <c r="AW59" s="62">
        <v>227055993.92520711</v>
      </c>
      <c r="AX59" s="62">
        <v>615259228.64344037</v>
      </c>
      <c r="AY59" s="68">
        <f>+AY61+AY104+AY92+AY115</f>
        <v>1161034937.9899998</v>
      </c>
      <c r="AZ59" s="81">
        <v>959040352.14999998</v>
      </c>
      <c r="BA59" s="81">
        <v>1095427461.100332</v>
      </c>
      <c r="BB59" s="81">
        <v>38672297.339897998</v>
      </c>
      <c r="BC59" s="81">
        <v>305507335.78445494</v>
      </c>
      <c r="BD59" s="81">
        <v>820650462.11286891</v>
      </c>
      <c r="BE59" s="81">
        <v>1556593924.7346447</v>
      </c>
      <c r="BF59" s="75">
        <v>8522330083.5031033</v>
      </c>
    </row>
    <row r="60" spans="2:58" s="25" customFormat="1" ht="12" customHeight="1" outlineLevel="1" x14ac:dyDescent="0.2">
      <c r="B60" s="28"/>
      <c r="C60" s="16"/>
      <c r="D60" s="17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38"/>
      <c r="Y60" s="19"/>
      <c r="Z60" s="19"/>
      <c r="AA60" s="19"/>
      <c r="AB60" s="19"/>
      <c r="AC60" s="49"/>
      <c r="AD60" s="49"/>
      <c r="AE60" s="49"/>
      <c r="AF60" s="49"/>
      <c r="AG60" s="56"/>
      <c r="AH60" s="62"/>
      <c r="AI60" s="68"/>
      <c r="AJ60" s="62"/>
      <c r="AK60" s="62"/>
      <c r="AL60" s="68"/>
      <c r="AM60" s="62"/>
      <c r="AN60" s="81"/>
      <c r="AO60" s="81"/>
      <c r="AP60" s="81"/>
      <c r="AQ60" s="81"/>
      <c r="AR60" s="81"/>
      <c r="AS60" s="75"/>
      <c r="AT60" s="56"/>
      <c r="AU60" s="62"/>
      <c r="AV60" s="68"/>
      <c r="AW60" s="62"/>
      <c r="AX60" s="62"/>
      <c r="AY60" s="68"/>
      <c r="AZ60" s="62"/>
      <c r="BA60" s="81"/>
      <c r="BB60" s="81"/>
      <c r="BC60" s="81"/>
      <c r="BD60" s="81"/>
      <c r="BE60" s="81"/>
      <c r="BF60" s="75"/>
    </row>
    <row r="61" spans="2:58" s="25" customFormat="1" ht="12" customHeight="1" outlineLevel="2" x14ac:dyDescent="0.2">
      <c r="B61" s="22"/>
      <c r="C61" s="23" t="s">
        <v>47</v>
      </c>
      <c r="D61" s="24"/>
      <c r="E61" s="18">
        <f>SUM(E62:E82)</f>
        <v>117177582</v>
      </c>
      <c r="F61" s="18">
        <f>SUM(F62:F82)</f>
        <v>118199068.42000002</v>
      </c>
      <c r="G61" s="18">
        <f t="shared" ref="G61:L61" si="16">SUM(G62:G80)</f>
        <v>173677659</v>
      </c>
      <c r="H61" s="18">
        <f t="shared" si="16"/>
        <v>80122011</v>
      </c>
      <c r="I61" s="18">
        <f t="shared" si="16"/>
        <v>189408937.81999999</v>
      </c>
      <c r="J61" s="18">
        <f t="shared" si="16"/>
        <v>91556506.849999994</v>
      </c>
      <c r="K61" s="18">
        <f t="shared" si="16"/>
        <v>189273288.42353505</v>
      </c>
      <c r="L61" s="18">
        <f t="shared" si="16"/>
        <v>86801042.04068993</v>
      </c>
      <c r="M61" s="18">
        <f>SUM(M62:M82)</f>
        <v>214537959.23948827</v>
      </c>
      <c r="N61" s="18">
        <f>SUM(N62:N82)</f>
        <v>93616141.288039193</v>
      </c>
      <c r="O61" s="18">
        <f t="shared" ref="O61:V61" si="17">SUM(O62:O86)</f>
        <v>229622464.46084359</v>
      </c>
      <c r="P61" s="18">
        <f t="shared" si="17"/>
        <v>82715614.444843546</v>
      </c>
      <c r="Q61" s="18">
        <f t="shared" si="17"/>
        <v>237693591.27524999</v>
      </c>
      <c r="R61" s="18">
        <f t="shared" si="17"/>
        <v>81131765.899000019</v>
      </c>
      <c r="S61" s="18">
        <f t="shared" si="17"/>
        <v>264542454.51999998</v>
      </c>
      <c r="T61" s="18">
        <f t="shared" si="17"/>
        <v>83674997.389999986</v>
      </c>
      <c r="U61" s="18">
        <f t="shared" si="17"/>
        <v>368888198.97999996</v>
      </c>
      <c r="V61" s="18">
        <f t="shared" si="17"/>
        <v>91812253.169999987</v>
      </c>
      <c r="W61" s="18">
        <f t="shared" ref="W61:Z61" si="18">SUM(W62:W86)</f>
        <v>557436294.87</v>
      </c>
      <c r="X61" s="18">
        <f t="shared" si="18"/>
        <v>126223598.67</v>
      </c>
      <c r="Y61" s="19">
        <f t="shared" si="18"/>
        <v>625975400.07000005</v>
      </c>
      <c r="Z61" s="19">
        <f t="shared" si="18"/>
        <v>130202566.05000001</v>
      </c>
      <c r="AA61" s="19">
        <f>SUM(AA62:AA86)</f>
        <v>687484940.4799999</v>
      </c>
      <c r="AB61" s="19">
        <f>SUM(AB62:AB86)</f>
        <v>200213885.80999997</v>
      </c>
      <c r="AC61" s="49">
        <v>787940432.31000006</v>
      </c>
      <c r="AD61" s="49">
        <v>275273821.37</v>
      </c>
      <c r="AE61" s="49">
        <v>1141894519.8900001</v>
      </c>
      <c r="AF61" s="49">
        <v>851263227.88</v>
      </c>
      <c r="AG61" s="56">
        <v>1135547.9917295813</v>
      </c>
      <c r="AH61" s="62">
        <v>267388088.07570001</v>
      </c>
      <c r="AI61" s="68">
        <v>71901822.319278777</v>
      </c>
      <c r="AJ61" s="62">
        <v>5276172.7285814174</v>
      </c>
      <c r="AK61" s="62">
        <v>433497143.40035963</v>
      </c>
      <c r="AL61" s="68">
        <v>0</v>
      </c>
      <c r="AM61" s="62">
        <v>1271376.1808</v>
      </c>
      <c r="AN61" s="81">
        <v>308158873.32853478</v>
      </c>
      <c r="AO61" s="81">
        <v>98523752.235599995</v>
      </c>
      <c r="AP61" s="81">
        <v>6757810.1025999999</v>
      </c>
      <c r="AQ61" s="81">
        <v>1429966704.9340343</v>
      </c>
      <c r="AR61" s="81">
        <v>12305035.145355338</v>
      </c>
      <c r="AS61" s="75">
        <v>2636182326.3500004</v>
      </c>
      <c r="AT61" s="56">
        <v>40757910.597002804</v>
      </c>
      <c r="AU61" s="62">
        <v>43648760.448599994</v>
      </c>
      <c r="AV61" s="68">
        <v>24474062.703035653</v>
      </c>
      <c r="AW61" s="62">
        <v>2069158.8952070798</v>
      </c>
      <c r="AX61" s="62">
        <v>613658073.33344042</v>
      </c>
      <c r="AY61" s="68">
        <v>839546.85</v>
      </c>
      <c r="AZ61" s="62">
        <v>48051599.730000004</v>
      </c>
      <c r="BA61" s="81">
        <v>41361306.312899999</v>
      </c>
      <c r="BB61" s="81">
        <v>32673208.070800003</v>
      </c>
      <c r="BC61" s="81">
        <v>2521181.5439999998</v>
      </c>
      <c r="BD61" s="81">
        <v>781484317.12606597</v>
      </c>
      <c r="BE61" s="81">
        <v>5279834.2746446626</v>
      </c>
      <c r="BF61" s="75">
        <v>1636818959.96</v>
      </c>
    </row>
    <row r="62" spans="2:58" s="25" customFormat="1" ht="12" customHeight="1" outlineLevel="2" x14ac:dyDescent="0.2">
      <c r="B62" s="22"/>
      <c r="C62" s="23"/>
      <c r="D62" s="26" t="s">
        <v>6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1">
        <v>0</v>
      </c>
      <c r="Z62" s="21">
        <v>0</v>
      </c>
      <c r="AA62" s="21">
        <v>0</v>
      </c>
      <c r="AB62" s="21">
        <v>0</v>
      </c>
      <c r="AC62" s="50"/>
      <c r="AD62" s="50"/>
      <c r="AE62" s="50"/>
      <c r="AF62" s="50"/>
      <c r="AG62" s="57"/>
      <c r="AH62" s="63"/>
      <c r="AI62" s="69"/>
      <c r="AJ62" s="63"/>
      <c r="AK62" s="63"/>
      <c r="AL62" s="69"/>
      <c r="AM62" s="63"/>
      <c r="AN62" s="82"/>
      <c r="AO62" s="82"/>
      <c r="AP62" s="82"/>
      <c r="AQ62" s="82"/>
      <c r="AR62" s="82"/>
      <c r="AS62" s="76"/>
      <c r="AT62" s="57"/>
      <c r="AU62" s="63"/>
      <c r="AV62" s="69"/>
      <c r="AW62" s="63"/>
      <c r="AX62" s="63"/>
      <c r="AY62" s="69"/>
      <c r="AZ62" s="63"/>
      <c r="BA62" s="82"/>
      <c r="BB62" s="82"/>
      <c r="BC62" s="82"/>
      <c r="BD62" s="82"/>
      <c r="BE62" s="82"/>
      <c r="BF62" s="76"/>
    </row>
    <row r="63" spans="2:58" s="25" customFormat="1" ht="12" customHeight="1" outlineLevel="2" x14ac:dyDescent="0.2">
      <c r="B63" s="22"/>
      <c r="C63" s="23"/>
      <c r="D63" s="26" t="s">
        <v>15</v>
      </c>
      <c r="E63" s="27">
        <v>9043891</v>
      </c>
      <c r="F63" s="27">
        <v>7920527</v>
      </c>
      <c r="G63" s="27">
        <v>9016342</v>
      </c>
      <c r="H63" s="27">
        <v>1951496</v>
      </c>
      <c r="I63" s="27">
        <v>9170201</v>
      </c>
      <c r="J63" s="27">
        <v>1496521</v>
      </c>
      <c r="K63" s="27">
        <v>10477893.4166</v>
      </c>
      <c r="L63" s="27">
        <v>1412903.2179</v>
      </c>
      <c r="M63" s="27">
        <v>12223093.59365</v>
      </c>
      <c r="N63" s="27">
        <v>1185861.62843</v>
      </c>
      <c r="O63" s="27">
        <v>12821572.199999999</v>
      </c>
      <c r="P63" s="27">
        <v>795884.04980000004</v>
      </c>
      <c r="Q63" s="27">
        <v>6683185.2052499996</v>
      </c>
      <c r="R63" s="27">
        <v>161289.68900000001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1">
        <v>0</v>
      </c>
      <c r="Z63" s="21">
        <v>0</v>
      </c>
      <c r="AA63" s="21">
        <v>0</v>
      </c>
      <c r="AB63" s="21">
        <v>0</v>
      </c>
      <c r="AC63" s="50"/>
      <c r="AD63" s="50"/>
      <c r="AE63" s="50"/>
      <c r="AF63" s="50"/>
      <c r="AG63" s="57"/>
      <c r="AH63" s="63"/>
      <c r="AI63" s="69"/>
      <c r="AJ63" s="63"/>
      <c r="AK63" s="63"/>
      <c r="AL63" s="69"/>
      <c r="AM63" s="63"/>
      <c r="AN63" s="82"/>
      <c r="AO63" s="82"/>
      <c r="AP63" s="82"/>
      <c r="AQ63" s="82"/>
      <c r="AR63" s="82"/>
      <c r="AS63" s="76"/>
      <c r="AT63" s="57"/>
      <c r="AU63" s="63"/>
      <c r="AV63" s="69"/>
      <c r="AW63" s="63"/>
      <c r="AX63" s="63"/>
      <c r="AY63" s="69"/>
      <c r="AZ63" s="63"/>
      <c r="BA63" s="82"/>
      <c r="BB63" s="82"/>
      <c r="BC63" s="82"/>
      <c r="BD63" s="82"/>
      <c r="BE63" s="82"/>
      <c r="BF63" s="76"/>
    </row>
    <row r="64" spans="2:58" s="25" customFormat="1" ht="12" customHeight="1" outlineLevel="2" x14ac:dyDescent="0.2">
      <c r="B64" s="22"/>
      <c r="C64" s="23"/>
      <c r="D64" s="26" t="s">
        <v>14</v>
      </c>
      <c r="E64" s="27">
        <v>0</v>
      </c>
      <c r="F64" s="27">
        <f>11227601+128803.46</f>
        <v>11356404.460000001</v>
      </c>
      <c r="G64" s="27">
        <v>10891913</v>
      </c>
      <c r="H64" s="27">
        <f>3372094+130627</f>
        <v>3502721</v>
      </c>
      <c r="I64" s="27">
        <v>11096124</v>
      </c>
      <c r="J64" s="27">
        <f>2568648+138799.06</f>
        <v>2707447.06</v>
      </c>
      <c r="K64" s="27">
        <v>11068777.572251117</v>
      </c>
      <c r="L64" s="27">
        <v>2158096.6792411795</v>
      </c>
      <c r="M64" s="27">
        <v>13031352.795838274</v>
      </c>
      <c r="N64" s="27">
        <v>1666498.4042092194</v>
      </c>
      <c r="O64" s="27">
        <v>17391791.734543562</v>
      </c>
      <c r="P64" s="27">
        <v>1300213.5488635267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1">
        <v>0</v>
      </c>
      <c r="Z64" s="21">
        <v>0</v>
      </c>
      <c r="AA64" s="21">
        <v>0</v>
      </c>
      <c r="AB64" s="21">
        <v>0</v>
      </c>
      <c r="AC64" s="50"/>
      <c r="AD64" s="50"/>
      <c r="AE64" s="50"/>
      <c r="AF64" s="50"/>
      <c r="AG64" s="57"/>
      <c r="AH64" s="63"/>
      <c r="AI64" s="69"/>
      <c r="AJ64" s="63"/>
      <c r="AK64" s="63"/>
      <c r="AL64" s="69"/>
      <c r="AM64" s="63"/>
      <c r="AN64" s="82"/>
      <c r="AO64" s="82"/>
      <c r="AP64" s="82"/>
      <c r="AQ64" s="82"/>
      <c r="AR64" s="82"/>
      <c r="AS64" s="76"/>
      <c r="AT64" s="57"/>
      <c r="AU64" s="63"/>
      <c r="AV64" s="69"/>
      <c r="AW64" s="63"/>
      <c r="AX64" s="63"/>
      <c r="AY64" s="69"/>
      <c r="AZ64" s="63"/>
      <c r="BA64" s="82"/>
      <c r="BB64" s="82"/>
      <c r="BC64" s="82"/>
      <c r="BD64" s="82"/>
      <c r="BE64" s="82"/>
      <c r="BF64" s="76"/>
    </row>
    <row r="65" spans="2:58" s="25" customFormat="1" ht="12" customHeight="1" outlineLevel="2" x14ac:dyDescent="0.2">
      <c r="B65" s="22"/>
      <c r="C65" s="23"/>
      <c r="D65" s="26" t="s">
        <v>48</v>
      </c>
      <c r="E65" s="27">
        <v>0</v>
      </c>
      <c r="F65" s="27">
        <f>451859+278050.6</f>
        <v>729909.6</v>
      </c>
      <c r="G65" s="27">
        <v>0</v>
      </c>
      <c r="H65" s="27">
        <f>2504+1104585</f>
        <v>1107089</v>
      </c>
      <c r="I65" s="27">
        <v>0</v>
      </c>
      <c r="J65" s="27">
        <f>2759+2118443.97</f>
        <v>2121202.9700000002</v>
      </c>
      <c r="K65" s="27">
        <v>6791170.7699999996</v>
      </c>
      <c r="L65" s="27">
        <v>3409016.9441383267</v>
      </c>
      <c r="M65" s="27">
        <v>6864876.8900000006</v>
      </c>
      <c r="N65" s="27">
        <v>4308121.74</v>
      </c>
      <c r="O65" s="27">
        <v>7127009.8100000005</v>
      </c>
      <c r="P65" s="27">
        <v>3578752.32</v>
      </c>
      <c r="Q65" s="27">
        <v>7524835.6699999999</v>
      </c>
      <c r="R65" s="27">
        <v>3795603.64</v>
      </c>
      <c r="S65" s="27">
        <v>8289940.3899999997</v>
      </c>
      <c r="T65" s="27">
        <v>3706698.8</v>
      </c>
      <c r="U65" s="27">
        <v>9740139.129999999</v>
      </c>
      <c r="V65" s="27">
        <v>3652982.05</v>
      </c>
      <c r="W65" s="27">
        <v>14867051.859999999</v>
      </c>
      <c r="X65" s="27">
        <v>5044816.05</v>
      </c>
      <c r="Y65" s="21">
        <v>16496930.73</v>
      </c>
      <c r="Z65" s="21">
        <v>4703853.59</v>
      </c>
      <c r="AA65" s="21">
        <v>27228564.469999999</v>
      </c>
      <c r="AB65" s="21">
        <v>6713957.5</v>
      </c>
      <c r="AC65" s="50">
        <v>29903939.850000001</v>
      </c>
      <c r="AD65" s="50">
        <v>5354361.3</v>
      </c>
      <c r="AE65" s="50">
        <v>52594410.240000002</v>
      </c>
      <c r="AF65" s="50">
        <v>6186634.9000000004</v>
      </c>
      <c r="AG65" s="57">
        <v>0</v>
      </c>
      <c r="AH65" s="63">
        <v>0</v>
      </c>
      <c r="AI65" s="69">
        <v>37482648.272314414</v>
      </c>
      <c r="AJ65" s="63">
        <v>0</v>
      </c>
      <c r="AK65" s="63">
        <v>0</v>
      </c>
      <c r="AL65" s="69">
        <v>0</v>
      </c>
      <c r="AM65" s="63">
        <v>0</v>
      </c>
      <c r="AN65" s="82">
        <v>0</v>
      </c>
      <c r="AO65" s="82">
        <v>51133454.399999999</v>
      </c>
      <c r="AP65" s="82">
        <v>0</v>
      </c>
      <c r="AQ65" s="82">
        <v>0</v>
      </c>
      <c r="AR65" s="82">
        <v>0</v>
      </c>
      <c r="AS65" s="76">
        <v>88616102.670000002</v>
      </c>
      <c r="AT65" s="57">
        <v>0</v>
      </c>
      <c r="AU65" s="63">
        <v>0</v>
      </c>
      <c r="AV65" s="69">
        <v>3005564.01</v>
      </c>
      <c r="AW65" s="63">
        <v>0</v>
      </c>
      <c r="AX65" s="63">
        <v>0</v>
      </c>
      <c r="AY65" s="69">
        <v>0</v>
      </c>
      <c r="AZ65" s="63">
        <v>0</v>
      </c>
      <c r="BA65" s="82">
        <v>0</v>
      </c>
      <c r="BB65" s="82">
        <v>2778746.32</v>
      </c>
      <c r="BC65" s="82">
        <v>0</v>
      </c>
      <c r="BD65" s="82">
        <v>0</v>
      </c>
      <c r="BE65" s="82">
        <v>0</v>
      </c>
      <c r="BF65" s="76">
        <v>5784310.3300000001</v>
      </c>
    </row>
    <row r="66" spans="2:58" s="25" customFormat="1" ht="12" customHeight="1" outlineLevel="2" x14ac:dyDescent="0.2">
      <c r="B66" s="22"/>
      <c r="C66" s="23"/>
      <c r="D66" s="26" t="s">
        <v>49</v>
      </c>
      <c r="E66" s="27">
        <v>0</v>
      </c>
      <c r="F66" s="27">
        <f>16255475.49+12100276</f>
        <v>28355751.490000002</v>
      </c>
      <c r="G66" s="27">
        <v>36379973</v>
      </c>
      <c r="H66" s="27">
        <f>4207457+23859752</f>
        <v>28067209</v>
      </c>
      <c r="I66" s="27">
        <v>41889434</v>
      </c>
      <c r="J66" s="27">
        <f>3013305+31147759.15</f>
        <v>34161064.149999999</v>
      </c>
      <c r="K66" s="27">
        <v>41695171.539999999</v>
      </c>
      <c r="L66" s="27">
        <v>32322063.07</v>
      </c>
      <c r="M66" s="27">
        <v>49151366.090000004</v>
      </c>
      <c r="N66" s="27">
        <v>31152750.249999996</v>
      </c>
      <c r="O66" s="27">
        <v>52270808.570000008</v>
      </c>
      <c r="P66" s="27">
        <v>33782826.18</v>
      </c>
      <c r="Q66" s="27">
        <v>54897876.450000003</v>
      </c>
      <c r="R66" s="27">
        <v>32171890.259999998</v>
      </c>
      <c r="S66" s="27">
        <v>59977473.979999997</v>
      </c>
      <c r="T66" s="27">
        <v>30916452.649999999</v>
      </c>
      <c r="U66" s="27">
        <v>70530963.140000001</v>
      </c>
      <c r="V66" s="27">
        <v>32989229.469999999</v>
      </c>
      <c r="W66" s="27">
        <v>108665806.53</v>
      </c>
      <c r="X66" s="27">
        <v>45745171.850000001</v>
      </c>
      <c r="Y66" s="21">
        <v>120121312.94</v>
      </c>
      <c r="Z66" s="21">
        <v>44060668.520000003</v>
      </c>
      <c r="AA66" s="21">
        <v>195011926.12</v>
      </c>
      <c r="AB66" s="21">
        <v>64690409.049999997</v>
      </c>
      <c r="AC66" s="50">
        <v>224165908.20999998</v>
      </c>
      <c r="AD66" s="50">
        <v>58932197.18</v>
      </c>
      <c r="AE66" s="50">
        <v>318196905.97000003</v>
      </c>
      <c r="AF66" s="50">
        <v>63808830.590000004</v>
      </c>
      <c r="AG66" s="57">
        <v>0</v>
      </c>
      <c r="AH66" s="63">
        <v>263865932.39160001</v>
      </c>
      <c r="AI66" s="69">
        <v>0</v>
      </c>
      <c r="AJ66" s="63">
        <v>0</v>
      </c>
      <c r="AK66" s="63">
        <v>0</v>
      </c>
      <c r="AL66" s="69">
        <v>0</v>
      </c>
      <c r="AM66" s="63">
        <v>0</v>
      </c>
      <c r="AN66" s="82">
        <v>303166962.94283479</v>
      </c>
      <c r="AO66" s="82">
        <v>0</v>
      </c>
      <c r="AP66" s="82">
        <v>0</v>
      </c>
      <c r="AQ66" s="82">
        <v>0</v>
      </c>
      <c r="AR66" s="82">
        <v>0</v>
      </c>
      <c r="AS66" s="76">
        <v>567032895.32999992</v>
      </c>
      <c r="AT66" s="57">
        <v>0</v>
      </c>
      <c r="AU66" s="63">
        <v>42978844.549999997</v>
      </c>
      <c r="AV66" s="69">
        <v>0</v>
      </c>
      <c r="AW66" s="63">
        <v>0</v>
      </c>
      <c r="AX66" s="63">
        <v>0</v>
      </c>
      <c r="AY66" s="69">
        <v>0</v>
      </c>
      <c r="AZ66" s="63">
        <v>0</v>
      </c>
      <c r="BA66" s="82">
        <v>40560748.899999999</v>
      </c>
      <c r="BB66" s="82">
        <v>0</v>
      </c>
      <c r="BC66" s="82">
        <v>0</v>
      </c>
      <c r="BD66" s="82">
        <v>0</v>
      </c>
      <c r="BE66" s="82">
        <v>0</v>
      </c>
      <c r="BF66" s="76">
        <v>83539593.449999988</v>
      </c>
    </row>
    <row r="67" spans="2:58" s="25" customFormat="1" ht="12" customHeight="1" outlineLevel="2" x14ac:dyDescent="0.2">
      <c r="B67" s="22"/>
      <c r="C67" s="23"/>
      <c r="D67" s="26" t="s">
        <v>70</v>
      </c>
      <c r="E67" s="27">
        <v>0</v>
      </c>
      <c r="F67" s="27">
        <f>200447.39</f>
        <v>200447.39</v>
      </c>
      <c r="G67" s="27">
        <v>0</v>
      </c>
      <c r="H67" s="27">
        <v>0</v>
      </c>
      <c r="I67" s="27">
        <v>529653.93999999994</v>
      </c>
      <c r="J67" s="27">
        <v>775907.62</v>
      </c>
      <c r="K67" s="27">
        <v>1125367.96</v>
      </c>
      <c r="L67" s="27">
        <v>984560.64679999999</v>
      </c>
      <c r="M67" s="27">
        <v>1328715.21</v>
      </c>
      <c r="N67" s="27">
        <v>973917.15</v>
      </c>
      <c r="O67" s="27">
        <v>1385538.49</v>
      </c>
      <c r="P67" s="27">
        <v>1047219.33</v>
      </c>
      <c r="Q67" s="27">
        <v>1464806.58</v>
      </c>
      <c r="R67" s="27">
        <v>1012846.85</v>
      </c>
      <c r="S67" s="27">
        <v>1603604.39</v>
      </c>
      <c r="T67" s="27">
        <v>1017226.35</v>
      </c>
      <c r="U67" s="27">
        <v>968932.61</v>
      </c>
      <c r="V67" s="27">
        <v>483268.35</v>
      </c>
      <c r="W67" s="27">
        <v>1482350</v>
      </c>
      <c r="X67" s="27">
        <v>675153.79</v>
      </c>
      <c r="Y67" s="21"/>
      <c r="Z67" s="21"/>
      <c r="AA67" s="21"/>
      <c r="AB67" s="21"/>
      <c r="AC67" s="50"/>
      <c r="AD67" s="50"/>
      <c r="AE67" s="50"/>
      <c r="AF67" s="50"/>
      <c r="AG67" s="57"/>
      <c r="AH67" s="63"/>
      <c r="AI67" s="69"/>
      <c r="AJ67" s="63"/>
      <c r="AK67" s="63"/>
      <c r="AL67" s="69"/>
      <c r="AM67" s="63"/>
      <c r="AN67" s="82"/>
      <c r="AO67" s="82"/>
      <c r="AP67" s="82"/>
      <c r="AQ67" s="82"/>
      <c r="AR67" s="82"/>
      <c r="AS67" s="76"/>
      <c r="AT67" s="57"/>
      <c r="AU67" s="63"/>
      <c r="AV67" s="69"/>
      <c r="AW67" s="63"/>
      <c r="AX67" s="63"/>
      <c r="AY67" s="69"/>
      <c r="AZ67" s="63"/>
      <c r="BA67" s="82"/>
      <c r="BB67" s="82"/>
      <c r="BC67" s="82"/>
      <c r="BD67" s="82"/>
      <c r="BE67" s="82"/>
      <c r="BF67" s="76"/>
    </row>
    <row r="68" spans="2:58" s="25" customFormat="1" ht="12" customHeight="1" outlineLevel="2" x14ac:dyDescent="0.2">
      <c r="B68" s="22"/>
      <c r="C68" s="23"/>
      <c r="D68" s="26" t="s">
        <v>122</v>
      </c>
      <c r="E68" s="27">
        <v>0</v>
      </c>
      <c r="F68" s="27">
        <v>0</v>
      </c>
      <c r="G68" s="27">
        <v>0</v>
      </c>
      <c r="H68" s="27">
        <v>436861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963977.84</v>
      </c>
      <c r="V68" s="27">
        <v>593240.55000000005</v>
      </c>
      <c r="W68" s="27">
        <v>1424597.79</v>
      </c>
      <c r="X68" s="27">
        <v>854607.3</v>
      </c>
      <c r="Y68" s="21">
        <v>3224273.19</v>
      </c>
      <c r="Z68" s="21">
        <v>1524412.88</v>
      </c>
      <c r="AA68" s="21">
        <v>5273571.07</v>
      </c>
      <c r="AB68" s="21">
        <v>2326745.19</v>
      </c>
      <c r="AC68" s="50">
        <v>5819146.0800000001</v>
      </c>
      <c r="AD68" s="50">
        <v>2170056.8299999996</v>
      </c>
      <c r="AE68" s="50">
        <v>9450858.6000000015</v>
      </c>
      <c r="AF68" s="50">
        <v>2842216.76</v>
      </c>
      <c r="AG68" s="57">
        <v>0</v>
      </c>
      <c r="AH68" s="63">
        <v>3522155.6840999993</v>
      </c>
      <c r="AI68" s="69">
        <v>0</v>
      </c>
      <c r="AJ68" s="63">
        <v>3969015.7794779111</v>
      </c>
      <c r="AK68" s="63">
        <v>0</v>
      </c>
      <c r="AL68" s="69">
        <v>0</v>
      </c>
      <c r="AM68" s="63">
        <v>0</v>
      </c>
      <c r="AN68" s="82">
        <v>4991910.3857000005</v>
      </c>
      <c r="AO68" s="82">
        <v>0</v>
      </c>
      <c r="AP68" s="82">
        <v>5051710.1025999999</v>
      </c>
      <c r="AQ68" s="82">
        <v>0</v>
      </c>
      <c r="AR68" s="82">
        <v>0</v>
      </c>
      <c r="AS68" s="76">
        <v>17534791.960000001</v>
      </c>
      <c r="AT68" s="57">
        <v>0</v>
      </c>
      <c r="AU68" s="63">
        <v>669915.89859999996</v>
      </c>
      <c r="AV68" s="69">
        <v>0</v>
      </c>
      <c r="AW68" s="63">
        <v>1280063.1505220882</v>
      </c>
      <c r="AX68" s="63">
        <v>0</v>
      </c>
      <c r="AY68" s="69">
        <v>0</v>
      </c>
      <c r="AZ68" s="63">
        <v>0</v>
      </c>
      <c r="BA68" s="82">
        <v>800557.4129</v>
      </c>
      <c r="BB68" s="82">
        <v>0</v>
      </c>
      <c r="BC68" s="82">
        <v>1501682.554</v>
      </c>
      <c r="BD68" s="82">
        <v>0</v>
      </c>
      <c r="BE68" s="82">
        <v>0</v>
      </c>
      <c r="BF68" s="76">
        <v>4252219</v>
      </c>
    </row>
    <row r="69" spans="2:58" s="25" customFormat="1" ht="12" customHeight="1" outlineLevel="2" x14ac:dyDescent="0.2">
      <c r="B69" s="22"/>
      <c r="C69" s="23"/>
      <c r="D69" s="26" t="s">
        <v>71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2313951.2999999998</v>
      </c>
      <c r="K69" s="27">
        <v>0</v>
      </c>
      <c r="L69" s="27">
        <v>12898744.640000001</v>
      </c>
      <c r="M69" s="27">
        <v>0</v>
      </c>
      <c r="N69" s="27">
        <v>24244374.810000002</v>
      </c>
      <c r="O69" s="27">
        <v>0</v>
      </c>
      <c r="P69" s="27">
        <v>30320268.960000001</v>
      </c>
      <c r="Q69" s="27">
        <v>35414069</v>
      </c>
      <c r="R69" s="27">
        <v>33043079.780000001</v>
      </c>
      <c r="S69" s="27">
        <v>39495214.799999997</v>
      </c>
      <c r="T69" s="27">
        <v>34042969.239999995</v>
      </c>
      <c r="U69" s="27">
        <v>47881189.849999994</v>
      </c>
      <c r="V69" s="27">
        <v>40042500.900000006</v>
      </c>
      <c r="W69" s="27">
        <v>70772044.909999996</v>
      </c>
      <c r="X69" s="27">
        <v>56402839.150000006</v>
      </c>
      <c r="Y69" s="21">
        <v>79436193.180000007</v>
      </c>
      <c r="Z69" s="21">
        <v>59901361.439999998</v>
      </c>
      <c r="AA69" s="21">
        <v>124968108.97999999</v>
      </c>
      <c r="AB69" s="21">
        <v>98565001.270000011</v>
      </c>
      <c r="AC69" s="50">
        <v>141561093.81</v>
      </c>
      <c r="AD69" s="50">
        <v>100155615.88</v>
      </c>
      <c r="AE69" s="50">
        <v>249773351.59</v>
      </c>
      <c r="AF69" s="50">
        <v>171105627.84999999</v>
      </c>
      <c r="AG69" s="57">
        <v>0</v>
      </c>
      <c r="AH69" s="63">
        <v>0</v>
      </c>
      <c r="AI69" s="69">
        <v>0</v>
      </c>
      <c r="AJ69" s="63">
        <v>0</v>
      </c>
      <c r="AK69" s="63">
        <v>192891725.10000002</v>
      </c>
      <c r="AL69" s="69">
        <v>0</v>
      </c>
      <c r="AM69" s="63">
        <v>0</v>
      </c>
      <c r="AN69" s="82">
        <v>0</v>
      </c>
      <c r="AO69" s="82">
        <v>0</v>
      </c>
      <c r="AP69" s="82">
        <v>0</v>
      </c>
      <c r="AQ69" s="82">
        <v>255588814.65203422</v>
      </c>
      <c r="AR69" s="82">
        <v>0</v>
      </c>
      <c r="AS69" s="76">
        <v>448480539.75</v>
      </c>
      <c r="AT69" s="57">
        <v>0</v>
      </c>
      <c r="AU69" s="63">
        <v>0</v>
      </c>
      <c r="AV69" s="69">
        <v>0</v>
      </c>
      <c r="AW69" s="63">
        <v>0</v>
      </c>
      <c r="AX69" s="63">
        <v>128075464.8</v>
      </c>
      <c r="AY69" s="69">
        <v>0</v>
      </c>
      <c r="AZ69" s="63">
        <v>0</v>
      </c>
      <c r="BA69" s="82">
        <v>0</v>
      </c>
      <c r="BB69" s="82">
        <v>0</v>
      </c>
      <c r="BC69" s="82">
        <v>0</v>
      </c>
      <c r="BD69" s="82">
        <v>162653850.54796585</v>
      </c>
      <c r="BE69" s="82">
        <v>0</v>
      </c>
      <c r="BF69" s="76">
        <v>290729315.35000002</v>
      </c>
    </row>
    <row r="70" spans="2:58" s="25" customFormat="1" ht="12" customHeight="1" outlineLevel="2" x14ac:dyDescent="0.2">
      <c r="B70" s="22"/>
      <c r="C70" s="23"/>
      <c r="D70" s="26" t="s">
        <v>50</v>
      </c>
      <c r="E70" s="27">
        <v>0</v>
      </c>
      <c r="F70" s="27">
        <v>0</v>
      </c>
      <c r="G70" s="27">
        <v>869</v>
      </c>
      <c r="H70" s="27">
        <v>29939</v>
      </c>
      <c r="I70" s="27">
        <v>573486.49</v>
      </c>
      <c r="J70" s="27">
        <v>141500.65</v>
      </c>
      <c r="K70" s="27">
        <v>1137244.52</v>
      </c>
      <c r="L70" s="27">
        <v>310489.44</v>
      </c>
      <c r="M70" s="27">
        <v>2041335.52</v>
      </c>
      <c r="N70" s="27">
        <v>332992.28000000003</v>
      </c>
      <c r="O70" s="27">
        <v>1455967.43</v>
      </c>
      <c r="P70" s="27">
        <v>104300.43</v>
      </c>
      <c r="Q70" s="27">
        <v>1535832.17</v>
      </c>
      <c r="R70" s="27">
        <v>58946.58</v>
      </c>
      <c r="S70" s="27">
        <v>825146.36</v>
      </c>
      <c r="T70" s="27">
        <v>12631.29</v>
      </c>
      <c r="U70" s="27">
        <v>0</v>
      </c>
      <c r="V70" s="27">
        <v>0</v>
      </c>
      <c r="W70" s="27">
        <v>0</v>
      </c>
      <c r="X70" s="27">
        <v>750057.09</v>
      </c>
      <c r="Y70" s="21">
        <v>7374004.2599999998</v>
      </c>
      <c r="Z70" s="21">
        <v>671027.07999999996</v>
      </c>
      <c r="AA70" s="21">
        <v>11774599.58</v>
      </c>
      <c r="AB70" s="21">
        <v>1014795.54</v>
      </c>
      <c r="AC70" s="50">
        <v>20685669.789999999</v>
      </c>
      <c r="AD70" s="50">
        <v>1097997.19</v>
      </c>
      <c r="AE70" s="50">
        <v>27494876.210000001</v>
      </c>
      <c r="AF70" s="50">
        <v>487250.15</v>
      </c>
      <c r="AG70" s="57"/>
      <c r="AH70" s="63"/>
      <c r="AI70" s="69"/>
      <c r="AJ70" s="63"/>
      <c r="AK70" s="63"/>
      <c r="AL70" s="69"/>
      <c r="AM70" s="63"/>
      <c r="AN70" s="82"/>
      <c r="AO70" s="82"/>
      <c r="AP70" s="82"/>
      <c r="AQ70" s="82"/>
      <c r="AR70" s="82"/>
      <c r="AS70" s="76"/>
      <c r="AT70" s="57"/>
      <c r="AU70" s="63"/>
      <c r="AV70" s="69"/>
      <c r="AW70" s="63"/>
      <c r="AX70" s="63"/>
      <c r="AY70" s="69"/>
      <c r="AZ70" s="63"/>
      <c r="BA70" s="82"/>
      <c r="BB70" s="82"/>
      <c r="BC70" s="82"/>
      <c r="BD70" s="82"/>
      <c r="BE70" s="82"/>
      <c r="BF70" s="76"/>
    </row>
    <row r="71" spans="2:58" s="25" customFormat="1" ht="12" customHeight="1" outlineLevel="2" x14ac:dyDescent="0.2">
      <c r="B71" s="22"/>
      <c r="C71" s="23"/>
      <c r="D71" s="26" t="s">
        <v>51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329197.89</v>
      </c>
      <c r="P71" s="27">
        <v>66946.84</v>
      </c>
      <c r="Q71" s="27">
        <v>2300144.37</v>
      </c>
      <c r="R71" s="27">
        <v>332231.15000000002</v>
      </c>
      <c r="S71" s="27">
        <v>1874196.61</v>
      </c>
      <c r="T71" s="27">
        <v>280402.21000000002</v>
      </c>
      <c r="U71" s="27">
        <v>6648549.0899999999</v>
      </c>
      <c r="V71" s="27">
        <v>949981.24</v>
      </c>
      <c r="W71" s="27">
        <v>6674770.3499999996</v>
      </c>
      <c r="X71" s="27">
        <v>0</v>
      </c>
      <c r="Y71" s="21"/>
      <c r="Z71" s="21"/>
      <c r="AA71" s="21"/>
      <c r="AB71" s="21"/>
      <c r="AC71" s="50"/>
      <c r="AD71" s="50"/>
      <c r="AE71" s="50"/>
      <c r="AF71" s="50"/>
      <c r="AG71" s="57"/>
      <c r="AH71" s="63"/>
      <c r="AI71" s="69"/>
      <c r="AJ71" s="63"/>
      <c r="AK71" s="63"/>
      <c r="AL71" s="69"/>
      <c r="AM71" s="63"/>
      <c r="AN71" s="82"/>
      <c r="AO71" s="82"/>
      <c r="AP71" s="82"/>
      <c r="AQ71" s="82"/>
      <c r="AR71" s="82"/>
      <c r="AS71" s="76"/>
      <c r="AT71" s="57"/>
      <c r="AU71" s="63"/>
      <c r="AV71" s="69"/>
      <c r="AW71" s="63"/>
      <c r="AX71" s="63"/>
      <c r="AY71" s="69"/>
      <c r="AZ71" s="63"/>
      <c r="BA71" s="82"/>
      <c r="BB71" s="82"/>
      <c r="BC71" s="82"/>
      <c r="BD71" s="82"/>
      <c r="BE71" s="82"/>
      <c r="BF71" s="76"/>
    </row>
    <row r="72" spans="2:58" s="25" customFormat="1" ht="12" customHeight="1" outlineLevel="2" x14ac:dyDescent="0.2">
      <c r="B72" s="22"/>
      <c r="C72" s="23"/>
      <c r="D72" s="26" t="s">
        <v>52</v>
      </c>
      <c r="E72" s="27">
        <v>16952258</v>
      </c>
      <c r="F72" s="27">
        <v>7580334</v>
      </c>
      <c r="G72" s="27">
        <v>7119591</v>
      </c>
      <c r="H72" s="27">
        <v>651538</v>
      </c>
      <c r="I72" s="27">
        <v>7915301</v>
      </c>
      <c r="J72" s="27">
        <v>376419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1">
        <v>0</v>
      </c>
      <c r="Z72" s="21">
        <v>0</v>
      </c>
      <c r="AA72" s="21">
        <v>0</v>
      </c>
      <c r="AB72" s="21">
        <v>0</v>
      </c>
      <c r="AC72" s="50"/>
      <c r="AD72" s="50"/>
      <c r="AE72" s="50"/>
      <c r="AF72" s="50"/>
      <c r="AG72" s="57"/>
      <c r="AH72" s="63"/>
      <c r="AI72" s="69"/>
      <c r="AJ72" s="63"/>
      <c r="AK72" s="63"/>
      <c r="AL72" s="69"/>
      <c r="AM72" s="63"/>
      <c r="AN72" s="82"/>
      <c r="AO72" s="82"/>
      <c r="AP72" s="82"/>
      <c r="AQ72" s="82"/>
      <c r="AR72" s="82"/>
      <c r="AS72" s="76"/>
      <c r="AT72" s="57"/>
      <c r="AU72" s="63"/>
      <c r="AV72" s="69"/>
      <c r="AW72" s="63"/>
      <c r="AX72" s="63"/>
      <c r="AY72" s="69"/>
      <c r="AZ72" s="63"/>
      <c r="BA72" s="82"/>
      <c r="BB72" s="82"/>
      <c r="BC72" s="82"/>
      <c r="BD72" s="82"/>
      <c r="BE72" s="82"/>
      <c r="BF72" s="76"/>
    </row>
    <row r="73" spans="2:58" s="25" customFormat="1" ht="12" customHeight="1" outlineLevel="2" x14ac:dyDescent="0.2">
      <c r="B73" s="22"/>
      <c r="C73" s="23"/>
      <c r="D73" s="26" t="s">
        <v>13</v>
      </c>
      <c r="E73" s="27">
        <v>35634474</v>
      </c>
      <c r="F73" s="27">
        <f>17969.19+11972889</f>
        <v>11990858.189999999</v>
      </c>
      <c r="G73" s="27">
        <v>5067227</v>
      </c>
      <c r="H73" s="27">
        <f>1053484+13266</f>
        <v>1066750</v>
      </c>
      <c r="I73" s="27">
        <v>15403202</v>
      </c>
      <c r="J73" s="27">
        <f>2968596+48796.53</f>
        <v>3017392.53</v>
      </c>
      <c r="K73" s="27">
        <v>10618533.84577113</v>
      </c>
      <c r="L73" s="27">
        <v>1052044.8835927499</v>
      </c>
      <c r="M73" s="27">
        <v>6158155.5599999996</v>
      </c>
      <c r="N73" s="27">
        <v>325808.87</v>
      </c>
      <c r="O73" s="27">
        <v>11999193.7863</v>
      </c>
      <c r="P73" s="27">
        <v>173955.98618000001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1">
        <v>0</v>
      </c>
      <c r="Z73" s="21">
        <v>0</v>
      </c>
      <c r="AA73" s="21">
        <v>0</v>
      </c>
      <c r="AB73" s="21">
        <v>0</v>
      </c>
      <c r="AC73" s="50"/>
      <c r="AD73" s="50"/>
      <c r="AE73" s="50"/>
      <c r="AF73" s="50"/>
      <c r="AG73" s="57"/>
      <c r="AH73" s="63"/>
      <c r="AI73" s="69"/>
      <c r="AJ73" s="63"/>
      <c r="AK73" s="63"/>
      <c r="AL73" s="69"/>
      <c r="AM73" s="63"/>
      <c r="AN73" s="82"/>
      <c r="AO73" s="82"/>
      <c r="AP73" s="82"/>
      <c r="AQ73" s="82"/>
      <c r="AR73" s="82"/>
      <c r="AS73" s="76"/>
      <c r="AT73" s="57"/>
      <c r="AU73" s="63"/>
      <c r="AV73" s="69"/>
      <c r="AW73" s="63"/>
      <c r="AX73" s="63"/>
      <c r="AY73" s="69"/>
      <c r="AZ73" s="63"/>
      <c r="BA73" s="82"/>
      <c r="BB73" s="82"/>
      <c r="BC73" s="82"/>
      <c r="BD73" s="82"/>
      <c r="BE73" s="82"/>
      <c r="BF73" s="76"/>
    </row>
    <row r="74" spans="2:58" s="25" customFormat="1" ht="12" customHeight="1" outlineLevel="2" x14ac:dyDescent="0.2">
      <c r="B74" s="22"/>
      <c r="C74" s="23"/>
      <c r="D74" s="26" t="s">
        <v>53</v>
      </c>
      <c r="E74" s="27">
        <v>9910455</v>
      </c>
      <c r="F74" s="27">
        <f>1442062+245992.48</f>
        <v>1688054.48</v>
      </c>
      <c r="G74" s="27">
        <v>8495017</v>
      </c>
      <c r="H74" s="27">
        <f>504777+1415953</f>
        <v>1920730</v>
      </c>
      <c r="I74" s="27">
        <f>355785+5841984.84</f>
        <v>6197769.8399999999</v>
      </c>
      <c r="J74" s="27">
        <f>10256+1209590.46</f>
        <v>1219846.46</v>
      </c>
      <c r="K74" s="27">
        <v>6955353.2300000004</v>
      </c>
      <c r="L74" s="27">
        <v>721048.16</v>
      </c>
      <c r="M74" s="27">
        <v>8095979.6600000001</v>
      </c>
      <c r="N74" s="27">
        <v>396207.01</v>
      </c>
      <c r="O74" s="27">
        <v>3595619.15</v>
      </c>
      <c r="P74" s="27">
        <v>19186.91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1">
        <v>0</v>
      </c>
      <c r="Z74" s="21">
        <v>0</v>
      </c>
      <c r="AA74" s="21">
        <v>0</v>
      </c>
      <c r="AB74" s="21">
        <v>0</v>
      </c>
      <c r="AC74" s="50"/>
      <c r="AD74" s="50"/>
      <c r="AE74" s="50"/>
      <c r="AF74" s="50"/>
      <c r="AG74" s="57"/>
      <c r="AH74" s="63"/>
      <c r="AI74" s="69"/>
      <c r="AJ74" s="63"/>
      <c r="AK74" s="63"/>
      <c r="AL74" s="69"/>
      <c r="AM74" s="63"/>
      <c r="AN74" s="82"/>
      <c r="AO74" s="82"/>
      <c r="AP74" s="82"/>
      <c r="AQ74" s="82"/>
      <c r="AR74" s="82"/>
      <c r="AS74" s="76"/>
      <c r="AT74" s="57"/>
      <c r="AU74" s="63"/>
      <c r="AV74" s="69"/>
      <c r="AW74" s="63"/>
      <c r="AX74" s="63"/>
      <c r="AY74" s="69"/>
      <c r="AZ74" s="63"/>
      <c r="BA74" s="82"/>
      <c r="BB74" s="82"/>
      <c r="BC74" s="82"/>
      <c r="BD74" s="82"/>
      <c r="BE74" s="82"/>
      <c r="BF74" s="76"/>
    </row>
    <row r="75" spans="2:58" s="25" customFormat="1" ht="12" customHeight="1" outlineLevel="2" x14ac:dyDescent="0.2">
      <c r="B75" s="22"/>
      <c r="C75" s="23"/>
      <c r="D75" s="26" t="s">
        <v>54</v>
      </c>
      <c r="E75" s="27">
        <v>32434824</v>
      </c>
      <c r="F75" s="27">
        <f>4720303+2484170.05</f>
        <v>7204473.0499999998</v>
      </c>
      <c r="G75" s="27">
        <f>2165941+20795834</f>
        <v>22961775</v>
      </c>
      <c r="H75" s="27">
        <f>42300+5984123</f>
        <v>6026423</v>
      </c>
      <c r="I75" s="27">
        <v>21429351.379999999</v>
      </c>
      <c r="J75" s="27">
        <v>5703995.5599999996</v>
      </c>
      <c r="K75" s="27">
        <v>21275118.050000001</v>
      </c>
      <c r="L75" s="27">
        <v>3500388.41</v>
      </c>
      <c r="M75" s="27">
        <v>25346199.09</v>
      </c>
      <c r="N75" s="27">
        <v>1872984.21</v>
      </c>
      <c r="O75" s="27">
        <v>26418460.629999999</v>
      </c>
      <c r="P75" s="27">
        <v>328100.86</v>
      </c>
      <c r="Q75" s="27">
        <v>27902459.289999999</v>
      </c>
      <c r="R75" s="27">
        <v>148677.10999999999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1">
        <v>0</v>
      </c>
      <c r="Z75" s="21">
        <v>0</v>
      </c>
      <c r="AA75" s="21">
        <v>0</v>
      </c>
      <c r="AB75" s="21">
        <v>0</v>
      </c>
      <c r="AC75" s="50"/>
      <c r="AD75" s="50"/>
      <c r="AE75" s="50"/>
      <c r="AF75" s="50"/>
      <c r="AG75" s="57"/>
      <c r="AH75" s="63"/>
      <c r="AI75" s="69"/>
      <c r="AJ75" s="63"/>
      <c r="AK75" s="63"/>
      <c r="AL75" s="69"/>
      <c r="AM75" s="63"/>
      <c r="AN75" s="82"/>
      <c r="AO75" s="82"/>
      <c r="AP75" s="82"/>
      <c r="AQ75" s="82"/>
      <c r="AR75" s="82"/>
      <c r="AS75" s="76"/>
      <c r="AT75" s="57"/>
      <c r="AU75" s="63"/>
      <c r="AV75" s="69"/>
      <c r="AW75" s="63"/>
      <c r="AX75" s="63"/>
      <c r="AY75" s="69"/>
      <c r="AZ75" s="63"/>
      <c r="BA75" s="82"/>
      <c r="BB75" s="82"/>
      <c r="BC75" s="82"/>
      <c r="BD75" s="82"/>
      <c r="BE75" s="82"/>
      <c r="BF75" s="76"/>
    </row>
    <row r="76" spans="2:58" s="25" customFormat="1" ht="12" customHeight="1" outlineLevel="2" x14ac:dyDescent="0.2">
      <c r="B76" s="22"/>
      <c r="C76" s="23"/>
      <c r="D76" s="26" t="s">
        <v>55</v>
      </c>
      <c r="E76" s="27">
        <v>5351485</v>
      </c>
      <c r="F76" s="27">
        <f>719731+616696.76</f>
        <v>1336427.76</v>
      </c>
      <c r="G76" s="27">
        <f>3381643+445164</f>
        <v>3826807</v>
      </c>
      <c r="H76" s="27">
        <f>104214+1126180</f>
        <v>1230394</v>
      </c>
      <c r="I76" s="27">
        <v>3882982.17</v>
      </c>
      <c r="J76" s="27">
        <v>1308415.99</v>
      </c>
      <c r="K76" s="27">
        <v>3858639.4045525203</v>
      </c>
      <c r="L76" s="27">
        <v>864328.35535597475</v>
      </c>
      <c r="M76" s="27">
        <v>4639254.09</v>
      </c>
      <c r="N76" s="27">
        <v>487199.05</v>
      </c>
      <c r="O76" s="27">
        <v>4869176</v>
      </c>
      <c r="P76" s="27">
        <v>120289.25</v>
      </c>
      <c r="Q76" s="27">
        <v>5123214.54</v>
      </c>
      <c r="R76" s="27">
        <v>84923.35</v>
      </c>
      <c r="S76" s="27">
        <v>5593841.1999999993</v>
      </c>
      <c r="T76" s="27">
        <v>54696.160000000003</v>
      </c>
      <c r="U76" s="27">
        <v>3138967.57</v>
      </c>
      <c r="V76" s="27">
        <v>14365.19</v>
      </c>
      <c r="W76" s="27">
        <v>0</v>
      </c>
      <c r="X76" s="27">
        <v>0</v>
      </c>
      <c r="Y76" s="21">
        <v>0</v>
      </c>
      <c r="Z76" s="21">
        <v>0</v>
      </c>
      <c r="AA76" s="21">
        <v>0</v>
      </c>
      <c r="AB76" s="21">
        <v>0</v>
      </c>
      <c r="AC76" s="50"/>
      <c r="AD76" s="50"/>
      <c r="AE76" s="50"/>
      <c r="AF76" s="50"/>
      <c r="AG76" s="57"/>
      <c r="AH76" s="63"/>
      <c r="AI76" s="69"/>
      <c r="AJ76" s="63"/>
      <c r="AK76" s="63"/>
      <c r="AL76" s="69"/>
      <c r="AM76" s="63"/>
      <c r="AN76" s="82"/>
      <c r="AO76" s="82"/>
      <c r="AP76" s="82"/>
      <c r="AQ76" s="82"/>
      <c r="AR76" s="82"/>
      <c r="AS76" s="76"/>
      <c r="AT76" s="57"/>
      <c r="AU76" s="63"/>
      <c r="AV76" s="69"/>
      <c r="AW76" s="63"/>
      <c r="AX76" s="63"/>
      <c r="AY76" s="69"/>
      <c r="AZ76" s="63"/>
      <c r="BA76" s="82"/>
      <c r="BB76" s="82"/>
      <c r="BC76" s="82"/>
      <c r="BD76" s="82"/>
      <c r="BE76" s="82"/>
      <c r="BF76" s="76"/>
    </row>
    <row r="77" spans="2:58" s="25" customFormat="1" ht="12" customHeight="1" outlineLevel="2" x14ac:dyDescent="0.2">
      <c r="B77" s="22"/>
      <c r="C77" s="23"/>
      <c r="D77" s="26" t="s">
        <v>56</v>
      </c>
      <c r="E77" s="27">
        <v>0</v>
      </c>
      <c r="F77" s="27">
        <f>551901+36535409</f>
        <v>37087310</v>
      </c>
      <c r="G77" s="27">
        <v>69918145</v>
      </c>
      <c r="H77" s="27">
        <f>33846548+284313</f>
        <v>34130861</v>
      </c>
      <c r="I77" s="27">
        <v>71321432</v>
      </c>
      <c r="J77" s="27">
        <v>34900846</v>
      </c>
      <c r="K77" s="27">
        <v>74270018.114360303</v>
      </c>
      <c r="L77" s="27">
        <v>24149389.393661715</v>
      </c>
      <c r="M77" s="27">
        <v>85657630.74000001</v>
      </c>
      <c r="N77" s="27">
        <v>18791896.685399998</v>
      </c>
      <c r="O77" s="27">
        <v>89243290.299999997</v>
      </c>
      <c r="P77" s="27">
        <v>3775320.8</v>
      </c>
      <c r="Q77" s="27">
        <v>94847168</v>
      </c>
      <c r="R77" s="27">
        <v>3286909.39</v>
      </c>
      <c r="S77" s="27">
        <v>104127716.84</v>
      </c>
      <c r="T77" s="27">
        <v>3698097.48</v>
      </c>
      <c r="U77" s="27">
        <v>125452046.86</v>
      </c>
      <c r="V77" s="27">
        <v>2702361.93</v>
      </c>
      <c r="W77" s="27">
        <v>187947889.96000001</v>
      </c>
      <c r="X77" s="27">
        <v>1999314.25</v>
      </c>
      <c r="Y77" s="21">
        <v>209444141.31</v>
      </c>
      <c r="Z77" s="21">
        <v>1025660.99</v>
      </c>
      <c r="AA77" s="21"/>
      <c r="AB77" s="21"/>
      <c r="AC77" s="50"/>
      <c r="AD77" s="50"/>
      <c r="AE77" s="50"/>
      <c r="AF77" s="50"/>
      <c r="AG77" s="57"/>
      <c r="AH77" s="63"/>
      <c r="AI77" s="69"/>
      <c r="AJ77" s="63"/>
      <c r="AK77" s="63"/>
      <c r="AL77" s="69"/>
      <c r="AM77" s="63"/>
      <c r="AN77" s="82"/>
      <c r="AO77" s="82"/>
      <c r="AP77" s="82"/>
      <c r="AQ77" s="82"/>
      <c r="AR77" s="82"/>
      <c r="AS77" s="76"/>
      <c r="AT77" s="57"/>
      <c r="AU77" s="63"/>
      <c r="AV77" s="69"/>
      <c r="AW77" s="63"/>
      <c r="AX77" s="63"/>
      <c r="AY77" s="69"/>
      <c r="AZ77" s="63"/>
      <c r="BA77" s="82"/>
      <c r="BB77" s="82"/>
      <c r="BC77" s="82"/>
      <c r="BD77" s="82"/>
      <c r="BE77" s="82"/>
      <c r="BF77" s="76"/>
    </row>
    <row r="78" spans="2:58" s="25" customFormat="1" ht="12" customHeight="1" outlineLevel="2" x14ac:dyDescent="0.2">
      <c r="B78" s="22"/>
      <c r="C78" s="23"/>
      <c r="D78" s="26" t="s">
        <v>72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418053.97</v>
      </c>
      <c r="K78" s="27">
        <v>0</v>
      </c>
      <c r="L78" s="27">
        <v>1207538.06</v>
      </c>
      <c r="M78" s="27">
        <v>0</v>
      </c>
      <c r="N78" s="27">
        <v>4160681.69</v>
      </c>
      <c r="O78" s="27">
        <v>0</v>
      </c>
      <c r="P78" s="27">
        <v>5060771.7300000004</v>
      </c>
      <c r="Q78" s="27">
        <v>0</v>
      </c>
      <c r="R78" s="27">
        <v>4867415.4000000004</v>
      </c>
      <c r="S78" s="27">
        <v>19232401.329999998</v>
      </c>
      <c r="T78" s="27">
        <v>5425656.8799999999</v>
      </c>
      <c r="U78" s="27">
        <v>47226877.490000002</v>
      </c>
      <c r="V78" s="27">
        <v>6093764.6699999999</v>
      </c>
      <c r="W78" s="27">
        <v>74972950.909999996</v>
      </c>
      <c r="X78" s="27">
        <v>7501119.25</v>
      </c>
      <c r="Y78" s="21">
        <v>84908958.049999997</v>
      </c>
      <c r="Z78" s="21">
        <v>6496112.7199999997</v>
      </c>
      <c r="AA78" s="21">
        <v>143578350.94</v>
      </c>
      <c r="AB78" s="21">
        <v>7423345.3699999992</v>
      </c>
      <c r="AC78" s="50">
        <v>159765034.94</v>
      </c>
      <c r="AD78" s="50">
        <v>4642699.8800000008</v>
      </c>
      <c r="AE78" s="50">
        <v>101619576.98</v>
      </c>
      <c r="AF78" s="50">
        <v>1090918.3399999999</v>
      </c>
      <c r="AG78" s="57"/>
      <c r="AH78" s="63"/>
      <c r="AI78" s="69"/>
      <c r="AJ78" s="63"/>
      <c r="AK78" s="63"/>
      <c r="AL78" s="69"/>
      <c r="AM78" s="63"/>
      <c r="AN78" s="82"/>
      <c r="AO78" s="82"/>
      <c r="AP78" s="82"/>
      <c r="AQ78" s="82"/>
      <c r="AR78" s="82"/>
      <c r="AS78" s="76"/>
      <c r="AT78" s="57"/>
      <c r="AU78" s="63"/>
      <c r="AV78" s="69"/>
      <c r="AW78" s="63"/>
      <c r="AX78" s="63"/>
      <c r="AY78" s="69"/>
      <c r="AZ78" s="63"/>
      <c r="BA78" s="82"/>
      <c r="BB78" s="82"/>
      <c r="BC78" s="82"/>
      <c r="BD78" s="82"/>
      <c r="BE78" s="82"/>
      <c r="BF78" s="76"/>
    </row>
    <row r="79" spans="2:58" s="25" customFormat="1" ht="12" customHeight="1" outlineLevel="2" x14ac:dyDescent="0.2">
      <c r="B79" s="22"/>
      <c r="C79" s="23"/>
      <c r="D79" s="26" t="s">
        <v>57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46526.879999999997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/>
      <c r="Y79" s="21"/>
      <c r="Z79" s="21"/>
      <c r="AA79" s="21"/>
      <c r="AB79" s="21"/>
      <c r="AC79" s="50"/>
      <c r="AD79" s="50"/>
      <c r="AE79" s="50"/>
      <c r="AF79" s="50"/>
      <c r="AG79" s="57"/>
      <c r="AH79" s="63"/>
      <c r="AI79" s="69"/>
      <c r="AJ79" s="63"/>
      <c r="AK79" s="63"/>
      <c r="AL79" s="69"/>
      <c r="AM79" s="63"/>
      <c r="AN79" s="82"/>
      <c r="AO79" s="82"/>
      <c r="AP79" s="82"/>
      <c r="AQ79" s="82"/>
      <c r="AR79" s="82"/>
      <c r="AS79" s="76"/>
      <c r="AT79" s="57"/>
      <c r="AU79" s="63"/>
      <c r="AV79" s="69"/>
      <c r="AW79" s="63"/>
      <c r="AX79" s="63"/>
      <c r="AY79" s="69"/>
      <c r="AZ79" s="63"/>
      <c r="BA79" s="82"/>
      <c r="BB79" s="82"/>
      <c r="BC79" s="82"/>
      <c r="BD79" s="82"/>
      <c r="BE79" s="82"/>
      <c r="BF79" s="76"/>
    </row>
    <row r="80" spans="2:58" s="25" customFormat="1" ht="12" customHeight="1" outlineLevel="2" x14ac:dyDescent="0.2">
      <c r="B80" s="22"/>
      <c r="C80" s="23"/>
      <c r="D80" s="26" t="s">
        <v>73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893942.59</v>
      </c>
      <c r="K80" s="27">
        <v>0</v>
      </c>
      <c r="L80" s="27">
        <v>1810430.14</v>
      </c>
      <c r="M80" s="27">
        <v>0</v>
      </c>
      <c r="N80" s="27">
        <v>3606758.11</v>
      </c>
      <c r="O80" s="27">
        <v>0</v>
      </c>
      <c r="P80" s="27">
        <v>2141997.38</v>
      </c>
      <c r="Q80" s="27">
        <v>0</v>
      </c>
      <c r="R80" s="27">
        <v>2058742.82</v>
      </c>
      <c r="S80" s="27">
        <v>23077848.100000001</v>
      </c>
      <c r="T80" s="27">
        <v>3242280.96</v>
      </c>
      <c r="U80" s="27">
        <v>55614606.269999996</v>
      </c>
      <c r="V80" s="27">
        <v>2754402.12</v>
      </c>
      <c r="W80" s="27">
        <v>83140704.99000001</v>
      </c>
      <c r="X80" s="27">
        <v>2854675.61</v>
      </c>
      <c r="Y80" s="21">
        <v>93347527.010000005</v>
      </c>
      <c r="Z80" s="21">
        <v>2777957.04</v>
      </c>
      <c r="AA80" s="21">
        <v>147875385.94999999</v>
      </c>
      <c r="AB80" s="21">
        <v>5626766.5700000003</v>
      </c>
      <c r="AC80" s="50">
        <v>167650876.22</v>
      </c>
      <c r="AD80" s="50">
        <v>7420047.6999999993</v>
      </c>
      <c r="AE80" s="50">
        <v>310707614.33999997</v>
      </c>
      <c r="AF80" s="50">
        <v>12571839.550000001</v>
      </c>
      <c r="AG80" s="57">
        <v>0</v>
      </c>
      <c r="AH80" s="63">
        <v>0</v>
      </c>
      <c r="AI80" s="69">
        <v>0</v>
      </c>
      <c r="AJ80" s="63">
        <v>0</v>
      </c>
      <c r="AK80" s="63">
        <v>226356232.34169999</v>
      </c>
      <c r="AL80" s="69">
        <v>0</v>
      </c>
      <c r="AM80" s="63">
        <v>0</v>
      </c>
      <c r="AN80" s="82">
        <v>0</v>
      </c>
      <c r="AO80" s="82">
        <v>0</v>
      </c>
      <c r="AP80" s="82">
        <v>0</v>
      </c>
      <c r="AQ80" s="82">
        <v>285035407.02999997</v>
      </c>
      <c r="AR80" s="82">
        <v>12305035.145355338</v>
      </c>
      <c r="AS80" s="76">
        <v>523696674.51999998</v>
      </c>
      <c r="AT80" s="57">
        <v>0</v>
      </c>
      <c r="AU80" s="63">
        <v>0</v>
      </c>
      <c r="AV80" s="69">
        <v>0</v>
      </c>
      <c r="AW80" s="63">
        <v>0</v>
      </c>
      <c r="AX80" s="63">
        <v>7051383.8820999991</v>
      </c>
      <c r="AY80" s="69">
        <v>0</v>
      </c>
      <c r="AZ80" s="63">
        <v>0</v>
      </c>
      <c r="BA80" s="82">
        <v>0</v>
      </c>
      <c r="BB80" s="82">
        <v>0</v>
      </c>
      <c r="BC80" s="82">
        <v>0</v>
      </c>
      <c r="BD80" s="82">
        <v>0</v>
      </c>
      <c r="BE80" s="82">
        <v>4324388.6046446627</v>
      </c>
      <c r="BF80" s="76">
        <v>11375772.48</v>
      </c>
    </row>
    <row r="81" spans="2:58" s="14" customFormat="1" ht="12" customHeight="1" outlineLevel="1" x14ac:dyDescent="0.2">
      <c r="B81" s="22"/>
      <c r="C81" s="23"/>
      <c r="D81" s="26" t="s">
        <v>74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63562.52</v>
      </c>
      <c r="O81" s="27">
        <v>0</v>
      </c>
      <c r="P81" s="27">
        <v>99579.87</v>
      </c>
      <c r="Q81" s="27">
        <v>0</v>
      </c>
      <c r="R81" s="27">
        <v>49976.09</v>
      </c>
      <c r="S81" s="27">
        <v>0</v>
      </c>
      <c r="T81" s="27">
        <v>111822.35</v>
      </c>
      <c r="U81" s="27">
        <v>485061.61</v>
      </c>
      <c r="V81" s="27">
        <v>191794.71</v>
      </c>
      <c r="W81" s="27">
        <v>487310.22</v>
      </c>
      <c r="X81" s="27">
        <v>168043.84</v>
      </c>
      <c r="Y81" s="21">
        <v>538420.52</v>
      </c>
      <c r="Z81" s="21">
        <v>164359.35999999999</v>
      </c>
      <c r="AA81" s="21">
        <v>859637.48</v>
      </c>
      <c r="AB81" s="21">
        <v>229036.91</v>
      </c>
      <c r="AC81" s="50">
        <v>999415.92999999993</v>
      </c>
      <c r="AD81" s="50">
        <v>226194.78</v>
      </c>
      <c r="AE81" s="50">
        <v>1398392.25</v>
      </c>
      <c r="AF81" s="50">
        <v>258959.02</v>
      </c>
      <c r="AG81" s="57">
        <v>1135547.9917295813</v>
      </c>
      <c r="AH81" s="63">
        <v>0</v>
      </c>
      <c r="AI81" s="69">
        <v>0</v>
      </c>
      <c r="AJ81" s="63">
        <v>0</v>
      </c>
      <c r="AK81" s="63">
        <v>0</v>
      </c>
      <c r="AL81" s="69">
        <v>0</v>
      </c>
      <c r="AM81" s="63">
        <v>1271376.1808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76">
        <v>2406924.17</v>
      </c>
      <c r="AT81" s="57">
        <v>180559.51</v>
      </c>
      <c r="AU81" s="63">
        <v>0</v>
      </c>
      <c r="AV81" s="69">
        <v>0</v>
      </c>
      <c r="AW81" s="63">
        <v>0</v>
      </c>
      <c r="AX81" s="63">
        <v>0</v>
      </c>
      <c r="AY81" s="69">
        <v>0</v>
      </c>
      <c r="AZ81" s="63">
        <v>173987.88</v>
      </c>
      <c r="BA81" s="82">
        <v>0</v>
      </c>
      <c r="BB81" s="82">
        <v>0</v>
      </c>
      <c r="BC81" s="82">
        <v>0</v>
      </c>
      <c r="BD81" s="82">
        <v>0</v>
      </c>
      <c r="BE81" s="82">
        <v>0</v>
      </c>
      <c r="BF81" s="76">
        <v>354547.39</v>
      </c>
    </row>
    <row r="82" spans="2:58" s="14" customFormat="1" ht="12" customHeight="1" outlineLevel="1" x14ac:dyDescent="0.2">
      <c r="B82" s="28"/>
      <c r="C82" s="16"/>
      <c r="D82" s="26" t="s">
        <v>58</v>
      </c>
      <c r="E82" s="27">
        <v>7850195</v>
      </c>
      <c r="F82" s="27">
        <v>2748571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1"/>
      <c r="Z82" s="21"/>
      <c r="AA82" s="21"/>
      <c r="AB82" s="21"/>
      <c r="AC82" s="50"/>
      <c r="AD82" s="50"/>
      <c r="AE82" s="50"/>
      <c r="AF82" s="50"/>
      <c r="AG82" s="57"/>
      <c r="AH82" s="63"/>
      <c r="AI82" s="69"/>
      <c r="AJ82" s="63"/>
      <c r="AK82" s="63"/>
      <c r="AL82" s="69"/>
      <c r="AM82" s="63"/>
      <c r="AN82" s="82"/>
      <c r="AO82" s="82"/>
      <c r="AP82" s="82"/>
      <c r="AQ82" s="82"/>
      <c r="AR82" s="82"/>
      <c r="AS82" s="76"/>
      <c r="AT82" s="57"/>
      <c r="AU82" s="63"/>
      <c r="AV82" s="69"/>
      <c r="AW82" s="63"/>
      <c r="AX82" s="63"/>
      <c r="AY82" s="69"/>
      <c r="AZ82" s="63"/>
      <c r="BA82" s="82"/>
      <c r="BB82" s="82"/>
      <c r="BC82" s="82"/>
      <c r="BD82" s="82"/>
      <c r="BE82" s="82"/>
      <c r="BF82" s="76"/>
    </row>
    <row r="83" spans="2:58" s="14" customFormat="1" ht="12" customHeight="1" outlineLevel="1" x14ac:dyDescent="0.2">
      <c r="B83" s="28"/>
      <c r="C83" s="16"/>
      <c r="D83" s="26" t="s">
        <v>59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714838.47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1"/>
      <c r="Z83" s="21"/>
      <c r="AA83" s="21"/>
      <c r="AB83" s="21"/>
      <c r="AC83" s="50"/>
      <c r="AD83" s="50"/>
      <c r="AE83" s="50"/>
      <c r="AF83" s="50"/>
      <c r="AG83" s="57"/>
      <c r="AH83" s="63"/>
      <c r="AI83" s="69"/>
      <c r="AJ83" s="63"/>
      <c r="AK83" s="63"/>
      <c r="AL83" s="69"/>
      <c r="AM83" s="63"/>
      <c r="AN83" s="82"/>
      <c r="AO83" s="82"/>
      <c r="AP83" s="82"/>
      <c r="AQ83" s="82"/>
      <c r="AR83" s="82"/>
      <c r="AS83" s="76"/>
      <c r="AT83" s="57"/>
      <c r="AU83" s="63"/>
      <c r="AV83" s="69"/>
      <c r="AW83" s="63"/>
      <c r="AX83" s="63"/>
      <c r="AY83" s="69"/>
      <c r="AZ83" s="63"/>
      <c r="BA83" s="82"/>
      <c r="BB83" s="82"/>
      <c r="BC83" s="82"/>
      <c r="BD83" s="82"/>
      <c r="BE83" s="82"/>
      <c r="BF83" s="76"/>
    </row>
    <row r="84" spans="2:58" s="14" customFormat="1" ht="12" customHeight="1" outlineLevel="1" x14ac:dyDescent="0.2">
      <c r="B84" s="28"/>
      <c r="C84" s="16"/>
      <c r="D84" s="26" t="s">
        <v>75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59233.79</v>
      </c>
      <c r="S84" s="27">
        <v>0</v>
      </c>
      <c r="T84" s="27">
        <v>1156196.43</v>
      </c>
      <c r="U84" s="27">
        <v>0</v>
      </c>
      <c r="V84" s="27">
        <v>1331720.82</v>
      </c>
      <c r="W84" s="27">
        <v>6528269.5</v>
      </c>
      <c r="X84" s="27">
        <v>4194468.08</v>
      </c>
      <c r="Y84" s="21">
        <v>10560719.23</v>
      </c>
      <c r="Z84" s="21">
        <v>7994246.8100000005</v>
      </c>
      <c r="AA84" s="21">
        <v>21149392.640000001</v>
      </c>
      <c r="AB84" s="21">
        <v>10233303.699999999</v>
      </c>
      <c r="AC84" s="50">
        <v>26770876.66</v>
      </c>
      <c r="AD84" s="50">
        <v>13998818.99</v>
      </c>
      <c r="AE84" s="50">
        <v>48940799.459999993</v>
      </c>
      <c r="AF84" s="50">
        <v>28567423.270000003</v>
      </c>
      <c r="AG84" s="57">
        <v>0</v>
      </c>
      <c r="AH84" s="63">
        <v>0</v>
      </c>
      <c r="AI84" s="69">
        <v>34419174.046964355</v>
      </c>
      <c r="AJ84" s="63">
        <v>0</v>
      </c>
      <c r="AK84" s="63">
        <v>0</v>
      </c>
      <c r="AL84" s="69">
        <v>0</v>
      </c>
      <c r="AM84" s="63">
        <v>0</v>
      </c>
      <c r="AN84" s="82">
        <v>0</v>
      </c>
      <c r="AO84" s="82">
        <v>47390297.835600004</v>
      </c>
      <c r="AP84" s="82">
        <v>0</v>
      </c>
      <c r="AQ84" s="82">
        <v>0</v>
      </c>
      <c r="AR84" s="82">
        <v>0</v>
      </c>
      <c r="AS84" s="76">
        <v>81809471.890000001</v>
      </c>
      <c r="AT84" s="57">
        <v>0</v>
      </c>
      <c r="AU84" s="63">
        <v>0</v>
      </c>
      <c r="AV84" s="69">
        <v>21468498.693035655</v>
      </c>
      <c r="AW84" s="63">
        <v>0</v>
      </c>
      <c r="AX84" s="63">
        <v>0</v>
      </c>
      <c r="AY84" s="69">
        <v>0</v>
      </c>
      <c r="AZ84" s="63">
        <v>0</v>
      </c>
      <c r="BA84" s="82">
        <v>0</v>
      </c>
      <c r="BB84" s="82">
        <v>29894461.750800002</v>
      </c>
      <c r="BC84" s="82">
        <v>0</v>
      </c>
      <c r="BD84" s="82">
        <v>0</v>
      </c>
      <c r="BE84" s="82">
        <v>0</v>
      </c>
      <c r="BF84" s="76">
        <v>51362960.439999998</v>
      </c>
    </row>
    <row r="85" spans="2:58" s="14" customFormat="1" ht="12" customHeight="1" outlineLevel="1" x14ac:dyDescent="0.2">
      <c r="B85" s="28"/>
      <c r="C85" s="16"/>
      <c r="D85" s="26" t="s">
        <v>85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1"/>
      <c r="Z85" s="21">
        <v>831545.11</v>
      </c>
      <c r="AA85" s="21">
        <v>8927281.620000001</v>
      </c>
      <c r="AB85" s="21">
        <v>3305737.38</v>
      </c>
      <c r="AC85" s="50">
        <v>9680257.9900000002</v>
      </c>
      <c r="AD85" s="50">
        <v>5046780.92</v>
      </c>
      <c r="AE85" s="50">
        <v>20101204.5</v>
      </c>
      <c r="AF85" s="50">
        <v>12617582.390000001</v>
      </c>
      <c r="AG85" s="57">
        <v>0</v>
      </c>
      <c r="AH85" s="63">
        <v>0</v>
      </c>
      <c r="AI85" s="69">
        <v>0</v>
      </c>
      <c r="AJ85" s="63">
        <v>0</v>
      </c>
      <c r="AK85" s="63">
        <v>14249185.958659662</v>
      </c>
      <c r="AL85" s="69">
        <v>0</v>
      </c>
      <c r="AM85" s="63">
        <v>0</v>
      </c>
      <c r="AN85" s="82">
        <v>0</v>
      </c>
      <c r="AO85" s="82">
        <v>0</v>
      </c>
      <c r="AP85" s="82">
        <v>0</v>
      </c>
      <c r="AQ85" s="82">
        <v>18989383.252</v>
      </c>
      <c r="AR85" s="82">
        <v>0</v>
      </c>
      <c r="AS85" s="76">
        <v>33238569.109999999</v>
      </c>
      <c r="AT85" s="57">
        <v>0</v>
      </c>
      <c r="AU85" s="63">
        <v>0</v>
      </c>
      <c r="AV85" s="69">
        <v>0</v>
      </c>
      <c r="AW85" s="63">
        <v>0</v>
      </c>
      <c r="AX85" s="63">
        <v>10567684.271340337</v>
      </c>
      <c r="AY85" s="69">
        <v>0</v>
      </c>
      <c r="AZ85" s="63">
        <v>0</v>
      </c>
      <c r="BA85" s="82">
        <v>0</v>
      </c>
      <c r="BB85" s="82">
        <v>0</v>
      </c>
      <c r="BC85" s="82">
        <v>0</v>
      </c>
      <c r="BD85" s="82">
        <v>13068204.248100001</v>
      </c>
      <c r="BE85" s="82">
        <v>0</v>
      </c>
      <c r="BF85" s="76">
        <v>23635888.619999997</v>
      </c>
    </row>
    <row r="86" spans="2:58" s="14" customFormat="1" ht="12" customHeight="1" outlineLevel="1" x14ac:dyDescent="0.2">
      <c r="B86" s="28"/>
      <c r="C86" s="16"/>
      <c r="D86" s="26" t="s">
        <v>64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445070.52</v>
      </c>
      <c r="T86" s="27">
        <v>9866.59</v>
      </c>
      <c r="U86" s="27">
        <v>236887.52</v>
      </c>
      <c r="V86" s="27">
        <v>12641.17</v>
      </c>
      <c r="W86" s="27">
        <v>472547.85</v>
      </c>
      <c r="X86" s="27">
        <v>33332.410000000003</v>
      </c>
      <c r="Y86" s="21">
        <v>522919.65</v>
      </c>
      <c r="Z86" s="21">
        <v>51360.51</v>
      </c>
      <c r="AA86" s="21">
        <v>838121.63</v>
      </c>
      <c r="AB86" s="21">
        <v>84787.33</v>
      </c>
      <c r="AC86" s="50">
        <v>938212.83000000007</v>
      </c>
      <c r="AD86" s="50">
        <v>99061.51999999999</v>
      </c>
      <c r="AE86" s="50">
        <v>1616529.75</v>
      </c>
      <c r="AF86" s="50">
        <v>232698.27</v>
      </c>
      <c r="AG86" s="57">
        <v>0</v>
      </c>
      <c r="AH86" s="63">
        <v>0</v>
      </c>
      <c r="AI86" s="69">
        <v>0</v>
      </c>
      <c r="AJ86" s="63">
        <v>1307156.9491035065</v>
      </c>
      <c r="AK86" s="63">
        <v>0</v>
      </c>
      <c r="AL86" s="69">
        <v>0</v>
      </c>
      <c r="AM86" s="63">
        <v>0</v>
      </c>
      <c r="AN86" s="82">
        <v>0</v>
      </c>
      <c r="AO86" s="82">
        <v>0</v>
      </c>
      <c r="AP86" s="82">
        <v>1706100</v>
      </c>
      <c r="AQ86" s="82">
        <v>0</v>
      </c>
      <c r="AR86" s="82">
        <v>0</v>
      </c>
      <c r="AS86" s="76">
        <v>3013256.95</v>
      </c>
      <c r="AT86" s="57">
        <v>0</v>
      </c>
      <c r="AU86" s="63">
        <v>0</v>
      </c>
      <c r="AV86" s="69">
        <v>0</v>
      </c>
      <c r="AW86" s="63">
        <v>167691.20468499156</v>
      </c>
      <c r="AX86" s="63">
        <v>0</v>
      </c>
      <c r="AY86" s="69">
        <v>0</v>
      </c>
      <c r="AZ86" s="63">
        <v>0</v>
      </c>
      <c r="BA86" s="82">
        <v>0</v>
      </c>
      <c r="BB86" s="82">
        <v>0</v>
      </c>
      <c r="BC86" s="82">
        <v>179982</v>
      </c>
      <c r="BD86" s="82">
        <v>0</v>
      </c>
      <c r="BE86" s="82">
        <v>0</v>
      </c>
      <c r="BF86" s="76">
        <v>347673.2</v>
      </c>
    </row>
    <row r="87" spans="2:58" s="14" customFormat="1" ht="12" customHeight="1" outlineLevel="1" x14ac:dyDescent="0.2">
      <c r="B87" s="28"/>
      <c r="C87" s="16"/>
      <c r="D87" s="26" t="s">
        <v>88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1"/>
      <c r="Z87" s="21"/>
      <c r="AA87" s="21"/>
      <c r="AB87" s="21"/>
      <c r="AC87" s="50">
        <v>0</v>
      </c>
      <c r="AD87" s="50">
        <v>9529137.4800000004</v>
      </c>
      <c r="AE87" s="50">
        <v>0</v>
      </c>
      <c r="AF87" s="50">
        <v>33820041.299999997</v>
      </c>
      <c r="AG87" s="57">
        <v>0</v>
      </c>
      <c r="AH87" s="63">
        <v>0</v>
      </c>
      <c r="AI87" s="69">
        <v>0</v>
      </c>
      <c r="AJ87" s="63">
        <v>0</v>
      </c>
      <c r="AK87" s="63">
        <v>0</v>
      </c>
      <c r="AL87" s="69">
        <v>0</v>
      </c>
      <c r="AM87" s="63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76">
        <v>0</v>
      </c>
      <c r="AT87" s="57">
        <v>40577351.087002806</v>
      </c>
      <c r="AU87" s="63">
        <v>0</v>
      </c>
      <c r="AV87" s="69">
        <v>0</v>
      </c>
      <c r="AW87" s="63">
        <v>0</v>
      </c>
      <c r="AX87" s="63">
        <v>0</v>
      </c>
      <c r="AY87" s="69">
        <v>0</v>
      </c>
      <c r="AZ87" s="63">
        <v>47877611.850000001</v>
      </c>
      <c r="BA87" s="82">
        <v>0</v>
      </c>
      <c r="BB87" s="82">
        <v>0</v>
      </c>
      <c r="BC87" s="82">
        <v>0</v>
      </c>
      <c r="BD87" s="82">
        <v>0</v>
      </c>
      <c r="BE87" s="82">
        <v>0</v>
      </c>
      <c r="BF87" s="76">
        <v>88454962.939999998</v>
      </c>
    </row>
    <row r="88" spans="2:58" s="14" customFormat="1" ht="12" customHeight="1" outlineLevel="1" x14ac:dyDescent="0.2">
      <c r="B88" s="28"/>
      <c r="C88" s="16"/>
      <c r="D88" s="26" t="s">
        <v>94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1"/>
      <c r="Z88" s="21"/>
      <c r="AA88" s="21"/>
      <c r="AB88" s="21"/>
      <c r="AC88" s="50">
        <v>0</v>
      </c>
      <c r="AD88" s="50">
        <v>66600851.720000006</v>
      </c>
      <c r="AE88" s="50">
        <v>0</v>
      </c>
      <c r="AF88" s="50">
        <v>283895051.10000002</v>
      </c>
      <c r="AG88" s="57">
        <v>0</v>
      </c>
      <c r="AH88" s="63">
        <v>0</v>
      </c>
      <c r="AI88" s="69">
        <v>0</v>
      </c>
      <c r="AJ88" s="63">
        <v>0</v>
      </c>
      <c r="AK88" s="63">
        <v>0</v>
      </c>
      <c r="AL88" s="69">
        <v>0</v>
      </c>
      <c r="AM88" s="63">
        <v>0</v>
      </c>
      <c r="AN88" s="82">
        <v>0</v>
      </c>
      <c r="AO88" s="82">
        <v>0</v>
      </c>
      <c r="AP88" s="82">
        <v>0</v>
      </c>
      <c r="AQ88" s="82">
        <v>870353100</v>
      </c>
      <c r="AR88" s="82">
        <v>0</v>
      </c>
      <c r="AS88" s="76">
        <v>870353100</v>
      </c>
      <c r="AT88" s="57">
        <v>0</v>
      </c>
      <c r="AU88" s="63">
        <v>0</v>
      </c>
      <c r="AV88" s="69">
        <v>0</v>
      </c>
      <c r="AW88" s="63">
        <v>0</v>
      </c>
      <c r="AX88" s="63">
        <v>234947642.92000002</v>
      </c>
      <c r="AY88" s="69">
        <v>0</v>
      </c>
      <c r="AZ88" s="63">
        <v>0</v>
      </c>
      <c r="BA88" s="82">
        <v>0</v>
      </c>
      <c r="BB88" s="82">
        <v>0</v>
      </c>
      <c r="BC88" s="82">
        <v>0</v>
      </c>
      <c r="BD88" s="82">
        <v>304894515.66275007</v>
      </c>
      <c r="BE88" s="82">
        <v>955445.67</v>
      </c>
      <c r="BF88" s="76">
        <v>540797604.25</v>
      </c>
    </row>
    <row r="89" spans="2:58" s="14" customFormat="1" ht="12" customHeight="1" outlineLevel="1" x14ac:dyDescent="0.2">
      <c r="B89" s="28"/>
      <c r="C89" s="16"/>
      <c r="D89" s="26" t="s">
        <v>96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1"/>
      <c r="Z89" s="21"/>
      <c r="AA89" s="21"/>
      <c r="AB89" s="21"/>
      <c r="AC89" s="50"/>
      <c r="AD89" s="50"/>
      <c r="AE89" s="50">
        <v>0</v>
      </c>
      <c r="AF89" s="50">
        <v>233778154.39000002</v>
      </c>
      <c r="AG89" s="57">
        <v>0</v>
      </c>
      <c r="AH89" s="63">
        <v>0</v>
      </c>
      <c r="AI89" s="69">
        <v>0</v>
      </c>
      <c r="AJ89" s="63">
        <v>0</v>
      </c>
      <c r="AK89" s="63">
        <v>0</v>
      </c>
      <c r="AL89" s="69">
        <v>0</v>
      </c>
      <c r="AM89" s="63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76">
        <v>0</v>
      </c>
      <c r="AT89" s="57">
        <v>0</v>
      </c>
      <c r="AU89" s="63">
        <v>0</v>
      </c>
      <c r="AV89" s="69">
        <v>0</v>
      </c>
      <c r="AW89" s="63">
        <v>621404.54</v>
      </c>
      <c r="AX89" s="63">
        <v>233015897.46000001</v>
      </c>
      <c r="AY89" s="69">
        <v>839546.85</v>
      </c>
      <c r="AZ89" s="63">
        <v>0</v>
      </c>
      <c r="BA89" s="82">
        <v>0</v>
      </c>
      <c r="BB89" s="82">
        <v>0</v>
      </c>
      <c r="BC89" s="82">
        <v>839516.99</v>
      </c>
      <c r="BD89" s="82">
        <v>300867746.66724998</v>
      </c>
      <c r="BE89" s="82">
        <v>0</v>
      </c>
      <c r="BF89" s="76">
        <v>536184112.50999999</v>
      </c>
    </row>
    <row r="90" spans="2:58" s="14" customFormat="1" ht="12" customHeight="1" outlineLevel="1" x14ac:dyDescent="0.2">
      <c r="B90" s="28"/>
      <c r="C90" s="16"/>
      <c r="D90" s="26" t="s">
        <v>123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1"/>
      <c r="Z90" s="21"/>
      <c r="AA90" s="21"/>
      <c r="AB90" s="21"/>
      <c r="AC90" s="50"/>
      <c r="AD90" s="50"/>
      <c r="AE90" s="50"/>
      <c r="AF90" s="50"/>
      <c r="AG90" s="57">
        <v>0</v>
      </c>
      <c r="AH90" s="63">
        <v>0</v>
      </c>
      <c r="AI90" s="69">
        <v>0</v>
      </c>
      <c r="AJ90" s="63">
        <v>0</v>
      </c>
      <c r="AK90" s="63">
        <v>0</v>
      </c>
      <c r="AL90" s="69">
        <v>0</v>
      </c>
      <c r="AM90" s="63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76">
        <v>0</v>
      </c>
      <c r="AT90" s="57">
        <v>0</v>
      </c>
      <c r="AU90" s="63">
        <v>0</v>
      </c>
      <c r="AV90" s="69">
        <v>0</v>
      </c>
      <c r="AW90" s="63">
        <v>0</v>
      </c>
      <c r="AX90" s="63">
        <v>0</v>
      </c>
      <c r="AY90" s="69">
        <v>0</v>
      </c>
      <c r="AZ90" s="63">
        <v>0</v>
      </c>
      <c r="BA90" s="82">
        <v>0</v>
      </c>
      <c r="BB90" s="82">
        <v>0</v>
      </c>
      <c r="BC90" s="82">
        <v>0</v>
      </c>
      <c r="BD90" s="82">
        <v>0</v>
      </c>
      <c r="BE90" s="82">
        <v>0</v>
      </c>
      <c r="BF90" s="76">
        <v>0</v>
      </c>
    </row>
    <row r="91" spans="2:58" s="25" customFormat="1" ht="12" customHeight="1" outlineLevel="1" x14ac:dyDescent="0.2">
      <c r="B91" s="28"/>
      <c r="C91" s="16"/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38"/>
      <c r="V91" s="38"/>
      <c r="W91" s="38"/>
      <c r="X91" s="38"/>
      <c r="Y91" s="19"/>
      <c r="Z91" s="19"/>
      <c r="AA91" s="19"/>
      <c r="AB91" s="19"/>
      <c r="AC91" s="49"/>
      <c r="AD91" s="49"/>
      <c r="AE91" s="49"/>
      <c r="AF91" s="49"/>
      <c r="AG91" s="56"/>
      <c r="AH91" s="62"/>
      <c r="AI91" s="68"/>
      <c r="AJ91" s="62"/>
      <c r="AK91" s="62"/>
      <c r="AL91" s="68"/>
      <c r="AM91" s="62"/>
      <c r="AN91" s="81"/>
      <c r="AO91" s="81"/>
      <c r="AP91" s="81"/>
      <c r="AQ91" s="81"/>
      <c r="AR91" s="81"/>
      <c r="AS91" s="75"/>
      <c r="AT91" s="56"/>
      <c r="AU91" s="62"/>
      <c r="AV91" s="68"/>
      <c r="AW91" s="62"/>
      <c r="AX91" s="62"/>
      <c r="AY91" s="68"/>
      <c r="AZ91" s="62"/>
      <c r="BA91" s="81"/>
      <c r="BB91" s="81"/>
      <c r="BC91" s="81"/>
      <c r="BD91" s="81"/>
      <c r="BE91" s="81"/>
      <c r="BF91" s="75"/>
    </row>
    <row r="92" spans="2:58" s="25" customFormat="1" ht="12" customHeight="1" outlineLevel="2" x14ac:dyDescent="0.2">
      <c r="B92" s="22"/>
      <c r="C92" s="23" t="s">
        <v>129</v>
      </c>
      <c r="D92" s="24"/>
      <c r="E92" s="18">
        <f t="shared" ref="E92:P92" si="19">SUM(E93:E98)</f>
        <v>1206611</v>
      </c>
      <c r="F92" s="18">
        <f t="shared" si="19"/>
        <v>16166662.76</v>
      </c>
      <c r="G92" s="18">
        <f t="shared" si="19"/>
        <v>0</v>
      </c>
      <c r="H92" s="18">
        <f t="shared" si="19"/>
        <v>11044264</v>
      </c>
      <c r="I92" s="18">
        <f t="shared" si="19"/>
        <v>13533832.33</v>
      </c>
      <c r="J92" s="18">
        <f t="shared" si="19"/>
        <v>9845986.3399999999</v>
      </c>
      <c r="K92" s="18">
        <f t="shared" si="19"/>
        <v>36253758.467</v>
      </c>
      <c r="L92" s="18">
        <f t="shared" si="19"/>
        <v>7255025.0667700004</v>
      </c>
      <c r="M92" s="18">
        <f t="shared" si="19"/>
        <v>41933144.046000004</v>
      </c>
      <c r="N92" s="18">
        <f t="shared" si="19"/>
        <v>4943562.7686299998</v>
      </c>
      <c r="O92" s="18">
        <f t="shared" si="19"/>
        <v>43115014.361000001</v>
      </c>
      <c r="P92" s="18">
        <f t="shared" si="19"/>
        <v>3855487.7249799999</v>
      </c>
      <c r="Q92" s="18">
        <f t="shared" ref="Q92:V92" si="20">SUM(Q93:Q98)</f>
        <v>46163003.741999999</v>
      </c>
      <c r="R92" s="18">
        <f t="shared" si="20"/>
        <v>3089204.4892120617</v>
      </c>
      <c r="S92" s="18">
        <f t="shared" si="20"/>
        <v>42743278.640000001</v>
      </c>
      <c r="T92" s="18">
        <f t="shared" si="20"/>
        <v>1895381.22</v>
      </c>
      <c r="U92" s="18">
        <f t="shared" si="20"/>
        <v>14041460.060000001</v>
      </c>
      <c r="V92" s="18">
        <f t="shared" si="20"/>
        <v>332571</v>
      </c>
      <c r="W92" s="18">
        <f t="shared" ref="W92:Z92" si="21">SUM(W93:W98)</f>
        <v>0</v>
      </c>
      <c r="X92" s="18">
        <f t="shared" si="21"/>
        <v>0</v>
      </c>
      <c r="Y92" s="19">
        <f t="shared" si="21"/>
        <v>0</v>
      </c>
      <c r="Z92" s="19">
        <f t="shared" si="21"/>
        <v>0</v>
      </c>
      <c r="AA92" s="19">
        <f>SUM(AA93:AA98)</f>
        <v>0</v>
      </c>
      <c r="AB92" s="19">
        <f>SUM(AB93:AB98)</f>
        <v>0</v>
      </c>
      <c r="AC92" s="49"/>
      <c r="AD92" s="49"/>
      <c r="AE92" s="49">
        <v>0</v>
      </c>
      <c r="AF92" s="49">
        <v>32318933.670000002</v>
      </c>
      <c r="AG92" s="56">
        <v>0</v>
      </c>
      <c r="AH92" s="62">
        <v>0</v>
      </c>
      <c r="AI92" s="68">
        <v>0</v>
      </c>
      <c r="AJ92" s="62">
        <v>0</v>
      </c>
      <c r="AK92" s="62">
        <v>0</v>
      </c>
      <c r="AL92" s="68">
        <v>0</v>
      </c>
      <c r="AM92" s="62">
        <v>0</v>
      </c>
      <c r="AN92" s="81">
        <v>0</v>
      </c>
      <c r="AO92" s="81">
        <v>0</v>
      </c>
      <c r="AP92" s="81">
        <v>0</v>
      </c>
      <c r="AQ92" s="81">
        <v>0</v>
      </c>
      <c r="AR92" s="81">
        <v>0</v>
      </c>
      <c r="AS92" s="75">
        <v>0</v>
      </c>
      <c r="AT92" s="56">
        <v>0</v>
      </c>
      <c r="AU92" s="62">
        <v>92074039.349999994</v>
      </c>
      <c r="AV92" s="68">
        <v>255221.5</v>
      </c>
      <c r="AW92" s="62">
        <v>0</v>
      </c>
      <c r="AX92" s="62">
        <v>0</v>
      </c>
      <c r="AY92" s="68">
        <v>0</v>
      </c>
      <c r="AZ92" s="62">
        <v>0</v>
      </c>
      <c r="BA92" s="81">
        <v>3999509.9274320351</v>
      </c>
      <c r="BB92" s="81">
        <v>3735465.7590979999</v>
      </c>
      <c r="BC92" s="81">
        <v>9839521.3304549996</v>
      </c>
      <c r="BD92" s="81">
        <v>36707614.026802994</v>
      </c>
      <c r="BE92" s="81">
        <v>0</v>
      </c>
      <c r="BF92" s="75">
        <v>146611371.89999998</v>
      </c>
    </row>
    <row r="93" spans="2:58" s="25" customFormat="1" ht="12" customHeight="1" outlineLevel="2" x14ac:dyDescent="0.2">
      <c r="B93" s="22"/>
      <c r="C93" s="23"/>
      <c r="D93" s="26" t="s">
        <v>8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1">
        <v>0</v>
      </c>
      <c r="Z93" s="21">
        <v>0</v>
      </c>
      <c r="AA93" s="21">
        <v>0</v>
      </c>
      <c r="AB93" s="21">
        <v>0</v>
      </c>
      <c r="AC93" s="50"/>
      <c r="AD93" s="50"/>
      <c r="AE93" s="50"/>
      <c r="AF93" s="50"/>
      <c r="AG93" s="57"/>
      <c r="AH93" s="63"/>
      <c r="AI93" s="69"/>
      <c r="AJ93" s="63"/>
      <c r="AK93" s="63"/>
      <c r="AL93" s="69"/>
      <c r="AM93" s="63"/>
      <c r="AN93" s="82"/>
      <c r="AO93" s="82"/>
      <c r="AP93" s="82"/>
      <c r="AQ93" s="82"/>
      <c r="AR93" s="82"/>
      <c r="AS93" s="76"/>
      <c r="AT93" s="57"/>
      <c r="AU93" s="63"/>
      <c r="AV93" s="69"/>
      <c r="AW93" s="63"/>
      <c r="AX93" s="63"/>
      <c r="AY93" s="69"/>
      <c r="AZ93" s="63"/>
      <c r="BA93" s="82"/>
      <c r="BB93" s="82"/>
      <c r="BC93" s="82"/>
      <c r="BD93" s="82"/>
      <c r="BE93" s="82"/>
      <c r="BF93" s="76"/>
    </row>
    <row r="94" spans="2:58" s="25" customFormat="1" ht="12" customHeight="1" outlineLevel="2" x14ac:dyDescent="0.2">
      <c r="B94" s="22"/>
      <c r="C94" s="23"/>
      <c r="D94" s="26" t="s">
        <v>9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1">
        <v>0</v>
      </c>
      <c r="Z94" s="21">
        <v>0</v>
      </c>
      <c r="AA94" s="21">
        <v>0</v>
      </c>
      <c r="AB94" s="21">
        <v>0</v>
      </c>
      <c r="AC94" s="50"/>
      <c r="AD94" s="50"/>
      <c r="AE94" s="50"/>
      <c r="AF94" s="50"/>
      <c r="AG94" s="57"/>
      <c r="AH94" s="63"/>
      <c r="AI94" s="69"/>
      <c r="AJ94" s="63"/>
      <c r="AK94" s="63"/>
      <c r="AL94" s="69"/>
      <c r="AM94" s="63"/>
      <c r="AN94" s="82"/>
      <c r="AO94" s="82"/>
      <c r="AP94" s="82"/>
      <c r="AQ94" s="82"/>
      <c r="AR94" s="82"/>
      <c r="AS94" s="76"/>
      <c r="AT94" s="57"/>
      <c r="AU94" s="63"/>
      <c r="AV94" s="69"/>
      <c r="AW94" s="63"/>
      <c r="AX94" s="63"/>
      <c r="AY94" s="69"/>
      <c r="AZ94" s="63"/>
      <c r="BA94" s="82"/>
      <c r="BB94" s="82"/>
      <c r="BC94" s="82"/>
      <c r="BD94" s="82"/>
      <c r="BE94" s="82"/>
      <c r="BF94" s="76"/>
    </row>
    <row r="95" spans="2:58" s="25" customFormat="1" ht="12" customHeight="1" outlineLevel="2" x14ac:dyDescent="0.2">
      <c r="B95" s="22"/>
      <c r="C95" s="23"/>
      <c r="D95" s="26" t="s">
        <v>10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1">
        <v>0</v>
      </c>
      <c r="Z95" s="21">
        <v>0</v>
      </c>
      <c r="AA95" s="21">
        <v>0</v>
      </c>
      <c r="AB95" s="21">
        <v>0</v>
      </c>
      <c r="AC95" s="50"/>
      <c r="AD95" s="50"/>
      <c r="AE95" s="50"/>
      <c r="AF95" s="50"/>
      <c r="AG95" s="57"/>
      <c r="AH95" s="63"/>
      <c r="AI95" s="69"/>
      <c r="AJ95" s="63"/>
      <c r="AK95" s="63"/>
      <c r="AL95" s="69"/>
      <c r="AM95" s="63"/>
      <c r="AN95" s="82"/>
      <c r="AO95" s="82"/>
      <c r="AP95" s="82"/>
      <c r="AQ95" s="82"/>
      <c r="AR95" s="82"/>
      <c r="AS95" s="76"/>
      <c r="AT95" s="57"/>
      <c r="AU95" s="63"/>
      <c r="AV95" s="69"/>
      <c r="AW95" s="63"/>
      <c r="AX95" s="63"/>
      <c r="AY95" s="69"/>
      <c r="AZ95" s="63"/>
      <c r="BA95" s="82"/>
      <c r="BB95" s="82"/>
      <c r="BC95" s="82"/>
      <c r="BD95" s="82"/>
      <c r="BE95" s="82"/>
      <c r="BF95" s="76"/>
    </row>
    <row r="96" spans="2:58" s="25" customFormat="1" ht="12" customHeight="1" outlineLevel="2" x14ac:dyDescent="0.2">
      <c r="B96" s="22"/>
      <c r="C96" s="23"/>
      <c r="D96" s="26" t="s">
        <v>11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/>
      <c r="X96" s="27"/>
      <c r="Y96" s="21"/>
      <c r="Z96" s="21"/>
      <c r="AA96" s="21"/>
      <c r="AB96" s="21"/>
      <c r="AC96" s="50"/>
      <c r="AD96" s="50"/>
      <c r="AE96" s="50"/>
      <c r="AF96" s="50"/>
      <c r="AG96" s="57"/>
      <c r="AH96" s="63"/>
      <c r="AI96" s="69"/>
      <c r="AJ96" s="63"/>
      <c r="AK96" s="63"/>
      <c r="AL96" s="69"/>
      <c r="AM96" s="63"/>
      <c r="AN96" s="82"/>
      <c r="AO96" s="82"/>
      <c r="AP96" s="82"/>
      <c r="AQ96" s="82"/>
      <c r="AR96" s="82"/>
      <c r="AS96" s="76"/>
      <c r="AT96" s="57"/>
      <c r="AU96" s="63"/>
      <c r="AV96" s="69"/>
      <c r="AW96" s="63"/>
      <c r="AX96" s="63"/>
      <c r="AY96" s="69"/>
      <c r="AZ96" s="63"/>
      <c r="BA96" s="82"/>
      <c r="BB96" s="82"/>
      <c r="BC96" s="82"/>
      <c r="BD96" s="82"/>
      <c r="BE96" s="82"/>
      <c r="BF96" s="76"/>
    </row>
    <row r="97" spans="2:58" s="25" customFormat="1" ht="12" customHeight="1" outlineLevel="2" x14ac:dyDescent="0.2">
      <c r="B97" s="22"/>
      <c r="C97" s="23"/>
      <c r="D97" s="26" t="s">
        <v>16</v>
      </c>
      <c r="E97" s="27">
        <v>0</v>
      </c>
      <c r="F97" s="27">
        <v>4147610.76</v>
      </c>
      <c r="G97" s="27">
        <v>0</v>
      </c>
      <c r="H97" s="27">
        <v>4597080</v>
      </c>
      <c r="I97" s="27">
        <v>9355983.3300000001</v>
      </c>
      <c r="J97" s="27">
        <v>5124688.34</v>
      </c>
      <c r="K97" s="27">
        <v>19413142.469999999</v>
      </c>
      <c r="L97" s="27">
        <v>4868416.92</v>
      </c>
      <c r="M97" s="27">
        <v>22069728.990000002</v>
      </c>
      <c r="N97" s="27">
        <v>4451082.5599999996</v>
      </c>
      <c r="O97" s="27">
        <v>22343965.73</v>
      </c>
      <c r="P97" s="27">
        <v>3443023.33</v>
      </c>
      <c r="Q97" s="27">
        <v>24188393.07</v>
      </c>
      <c r="R97" s="27">
        <v>2581127.44</v>
      </c>
      <c r="S97" s="27">
        <v>24866249.719999999</v>
      </c>
      <c r="T97" s="27">
        <v>1472108.67</v>
      </c>
      <c r="U97" s="27">
        <v>14041460.060000001</v>
      </c>
      <c r="V97" s="27">
        <v>332571</v>
      </c>
      <c r="W97" s="27">
        <v>0</v>
      </c>
      <c r="X97" s="27"/>
      <c r="Y97" s="21">
        <v>0</v>
      </c>
      <c r="Z97" s="21"/>
      <c r="AA97" s="21">
        <v>0</v>
      </c>
      <c r="AB97" s="21"/>
      <c r="AC97" s="50"/>
      <c r="AD97" s="50"/>
      <c r="AE97" s="50"/>
      <c r="AF97" s="50"/>
      <c r="AG97" s="57"/>
      <c r="AH97" s="63"/>
      <c r="AI97" s="69"/>
      <c r="AJ97" s="63"/>
      <c r="AK97" s="63"/>
      <c r="AL97" s="69"/>
      <c r="AM97" s="63"/>
      <c r="AN97" s="82"/>
      <c r="AO97" s="82"/>
      <c r="AP97" s="82"/>
      <c r="AQ97" s="82"/>
      <c r="AR97" s="82"/>
      <c r="AS97" s="76"/>
      <c r="AT97" s="57"/>
      <c r="AU97" s="63"/>
      <c r="AV97" s="69"/>
      <c r="AW97" s="63"/>
      <c r="AX97" s="63"/>
      <c r="AY97" s="69"/>
      <c r="AZ97" s="63"/>
      <c r="BA97" s="82"/>
      <c r="BB97" s="82"/>
      <c r="BC97" s="82"/>
      <c r="BD97" s="82"/>
      <c r="BE97" s="82"/>
      <c r="BF97" s="76"/>
    </row>
    <row r="98" spans="2:58" s="25" customFormat="1" ht="12" customHeight="1" outlineLevel="2" x14ac:dyDescent="0.2">
      <c r="B98" s="22"/>
      <c r="C98" s="23"/>
      <c r="D98" s="26" t="s">
        <v>12</v>
      </c>
      <c r="E98" s="27">
        <v>1206611</v>
      </c>
      <c r="F98" s="27">
        <f>4490435+7528617</f>
        <v>12019052</v>
      </c>
      <c r="G98" s="27">
        <v>0</v>
      </c>
      <c r="H98" s="27">
        <f>6247298+199886</f>
        <v>6447184</v>
      </c>
      <c r="I98" s="27">
        <v>4177849</v>
      </c>
      <c r="J98" s="27">
        <f>4502509+218789</f>
        <v>4721298</v>
      </c>
      <c r="K98" s="27">
        <v>16840615.997000001</v>
      </c>
      <c r="L98" s="27">
        <v>2386608.14677</v>
      </c>
      <c r="M98" s="27">
        <v>19863415.055999998</v>
      </c>
      <c r="N98" s="27">
        <v>492480.20863000007</v>
      </c>
      <c r="O98" s="27">
        <v>20771048.630999997</v>
      </c>
      <c r="P98" s="27">
        <v>412464.39498000004</v>
      </c>
      <c r="Q98" s="27">
        <v>21974610.671999998</v>
      </c>
      <c r="R98" s="27">
        <v>508077.04921206168</v>
      </c>
      <c r="S98" s="27">
        <v>17877028.920000002</v>
      </c>
      <c r="T98" s="27">
        <v>423272.55</v>
      </c>
      <c r="U98" s="27">
        <v>0</v>
      </c>
      <c r="V98" s="27">
        <v>0</v>
      </c>
      <c r="W98" s="27">
        <v>0</v>
      </c>
      <c r="X98" s="27">
        <v>0</v>
      </c>
      <c r="Y98" s="21">
        <v>0</v>
      </c>
      <c r="Z98" s="21">
        <v>0</v>
      </c>
      <c r="AA98" s="21">
        <v>0</v>
      </c>
      <c r="AB98" s="21">
        <v>0</v>
      </c>
      <c r="AC98" s="50"/>
      <c r="AD98" s="50"/>
      <c r="AE98" s="50"/>
      <c r="AF98" s="50"/>
      <c r="AG98" s="57"/>
      <c r="AH98" s="63"/>
      <c r="AI98" s="69"/>
      <c r="AJ98" s="63"/>
      <c r="AK98" s="63"/>
      <c r="AL98" s="69"/>
      <c r="AM98" s="63"/>
      <c r="AN98" s="82"/>
      <c r="AO98" s="82"/>
      <c r="AP98" s="82"/>
      <c r="AQ98" s="82"/>
      <c r="AR98" s="82"/>
      <c r="AS98" s="76"/>
      <c r="AT98" s="57"/>
      <c r="AU98" s="63"/>
      <c r="AV98" s="69"/>
      <c r="AW98" s="63"/>
      <c r="AX98" s="63"/>
      <c r="AY98" s="69"/>
      <c r="AZ98" s="63"/>
      <c r="BA98" s="82"/>
      <c r="BB98" s="82"/>
      <c r="BC98" s="82"/>
      <c r="BD98" s="82"/>
      <c r="BE98" s="82"/>
      <c r="BF98" s="76"/>
    </row>
    <row r="99" spans="2:58" s="25" customFormat="1" ht="12" customHeight="1" outlineLevel="2" x14ac:dyDescent="0.2">
      <c r="B99" s="22"/>
      <c r="C99" s="23"/>
      <c r="D99" s="53" t="s">
        <v>103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1"/>
      <c r="Z99" s="21"/>
      <c r="AA99" s="21"/>
      <c r="AB99" s="21"/>
      <c r="AC99" s="50"/>
      <c r="AD99" s="50"/>
      <c r="AE99" s="50">
        <v>0</v>
      </c>
      <c r="AF99" s="50">
        <v>32318933.670000002</v>
      </c>
      <c r="AG99" s="57">
        <v>0</v>
      </c>
      <c r="AH99" s="63">
        <v>0</v>
      </c>
      <c r="AI99" s="69">
        <v>0</v>
      </c>
      <c r="AJ99" s="63">
        <v>0</v>
      </c>
      <c r="AK99" s="63">
        <v>0</v>
      </c>
      <c r="AL99" s="69">
        <v>0</v>
      </c>
      <c r="AM99" s="63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76">
        <v>0</v>
      </c>
      <c r="AT99" s="57">
        <v>0</v>
      </c>
      <c r="AU99" s="63">
        <v>0</v>
      </c>
      <c r="AV99" s="69">
        <v>255221.5</v>
      </c>
      <c r="AW99" s="63">
        <v>0</v>
      </c>
      <c r="AX99" s="63">
        <v>0</v>
      </c>
      <c r="AY99" s="69">
        <v>0</v>
      </c>
      <c r="AZ99" s="63">
        <v>0</v>
      </c>
      <c r="BA99" s="82">
        <v>3999509.9274320351</v>
      </c>
      <c r="BB99" s="82">
        <v>3735465.7590979999</v>
      </c>
      <c r="BC99" s="82">
        <v>0</v>
      </c>
      <c r="BD99" s="82">
        <v>0</v>
      </c>
      <c r="BE99" s="82">
        <v>0</v>
      </c>
      <c r="BF99" s="76">
        <v>7990197.1899999995</v>
      </c>
    </row>
    <row r="100" spans="2:58" s="25" customFormat="1" ht="12" customHeight="1" outlineLevel="2" x14ac:dyDescent="0.2">
      <c r="B100" s="22"/>
      <c r="C100" s="23"/>
      <c r="D100" s="53" t="s">
        <v>101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1"/>
      <c r="Z100" s="21"/>
      <c r="AA100" s="21"/>
      <c r="AB100" s="21"/>
      <c r="AC100" s="50"/>
      <c r="AD100" s="50"/>
      <c r="AE100" s="50"/>
      <c r="AF100" s="50"/>
      <c r="AG100" s="57">
        <v>0</v>
      </c>
      <c r="AH100" s="63">
        <v>0</v>
      </c>
      <c r="AI100" s="69">
        <v>0</v>
      </c>
      <c r="AJ100" s="63">
        <v>0</v>
      </c>
      <c r="AK100" s="63">
        <v>0</v>
      </c>
      <c r="AL100" s="69">
        <v>0</v>
      </c>
      <c r="AM100" s="63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76">
        <v>0</v>
      </c>
      <c r="AT100" s="57">
        <v>0</v>
      </c>
      <c r="AU100" s="63">
        <v>74616801.489999995</v>
      </c>
      <c r="AV100" s="69">
        <v>0</v>
      </c>
      <c r="AW100" s="63">
        <v>0</v>
      </c>
      <c r="AX100" s="63">
        <v>0</v>
      </c>
      <c r="AY100" s="69">
        <v>0</v>
      </c>
      <c r="AZ100" s="63">
        <v>0</v>
      </c>
      <c r="BA100" s="82">
        <v>0</v>
      </c>
      <c r="BB100" s="82">
        <v>0</v>
      </c>
      <c r="BC100" s="82">
        <v>8089437.1870200001</v>
      </c>
      <c r="BD100" s="82">
        <v>34543520.424283996</v>
      </c>
      <c r="BE100" s="82">
        <v>0</v>
      </c>
      <c r="BF100" s="76">
        <v>117249759.11</v>
      </c>
    </row>
    <row r="101" spans="2:58" s="25" customFormat="1" ht="12" customHeight="1" outlineLevel="2" x14ac:dyDescent="0.2">
      <c r="B101" s="22"/>
      <c r="C101" s="23"/>
      <c r="D101" s="53" t="s">
        <v>102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1"/>
      <c r="Z101" s="21"/>
      <c r="AA101" s="21"/>
      <c r="AB101" s="21"/>
      <c r="AC101" s="50"/>
      <c r="AD101" s="50"/>
      <c r="AE101" s="50"/>
      <c r="AF101" s="50"/>
      <c r="AG101" s="57">
        <v>0</v>
      </c>
      <c r="AH101" s="63">
        <v>0</v>
      </c>
      <c r="AI101" s="69">
        <v>0</v>
      </c>
      <c r="AJ101" s="63">
        <v>0</v>
      </c>
      <c r="AK101" s="63">
        <v>0</v>
      </c>
      <c r="AL101" s="69">
        <v>0</v>
      </c>
      <c r="AM101" s="63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76">
        <v>0</v>
      </c>
      <c r="AT101" s="57">
        <v>0</v>
      </c>
      <c r="AU101" s="63">
        <v>17457237.859999999</v>
      </c>
      <c r="AV101" s="69">
        <v>0</v>
      </c>
      <c r="AW101" s="63">
        <v>0</v>
      </c>
      <c r="AX101" s="63">
        <v>0</v>
      </c>
      <c r="AY101" s="69">
        <v>0</v>
      </c>
      <c r="AZ101" s="63">
        <v>0</v>
      </c>
      <c r="BA101" s="82">
        <v>0</v>
      </c>
      <c r="BB101" s="82">
        <v>0</v>
      </c>
      <c r="BC101" s="82">
        <v>1750084.143435</v>
      </c>
      <c r="BD101" s="82">
        <v>1962708.122519</v>
      </c>
      <c r="BE101" s="82">
        <v>0</v>
      </c>
      <c r="BF101" s="76">
        <v>21170030.120000001</v>
      </c>
    </row>
    <row r="102" spans="2:58" s="25" customFormat="1" ht="12" customHeight="1" outlineLevel="2" x14ac:dyDescent="0.2">
      <c r="B102" s="22"/>
      <c r="C102" s="23"/>
      <c r="D102" s="53" t="s">
        <v>126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1"/>
      <c r="Z102" s="21"/>
      <c r="AA102" s="21"/>
      <c r="AB102" s="21"/>
      <c r="AC102" s="50"/>
      <c r="AD102" s="50"/>
      <c r="AE102" s="50"/>
      <c r="AF102" s="50"/>
      <c r="AG102" s="57"/>
      <c r="AH102" s="63"/>
      <c r="AI102" s="69"/>
      <c r="AJ102" s="63"/>
      <c r="AK102" s="63"/>
      <c r="AL102" s="69"/>
      <c r="AM102" s="63"/>
      <c r="AN102" s="82"/>
      <c r="AO102" s="82"/>
      <c r="AP102" s="82">
        <v>0</v>
      </c>
      <c r="AQ102" s="82">
        <v>0</v>
      </c>
      <c r="AR102" s="82">
        <v>0</v>
      </c>
      <c r="AS102" s="76">
        <v>0</v>
      </c>
      <c r="AT102" s="57"/>
      <c r="AU102" s="63"/>
      <c r="AV102" s="69"/>
      <c r="AW102" s="63"/>
      <c r="AX102" s="63"/>
      <c r="AY102" s="69"/>
      <c r="AZ102" s="63"/>
      <c r="BA102" s="82"/>
      <c r="BB102" s="82"/>
      <c r="BC102" s="82">
        <v>0</v>
      </c>
      <c r="BD102" s="82">
        <v>201385.48</v>
      </c>
      <c r="BE102" s="82">
        <v>0</v>
      </c>
      <c r="BF102" s="76">
        <v>201385.48</v>
      </c>
    </row>
    <row r="103" spans="2:58" s="25" customFormat="1" ht="12" customHeight="1" outlineLevel="1" x14ac:dyDescent="0.2">
      <c r="B103" s="28"/>
      <c r="C103" s="16"/>
      <c r="D103" s="17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38"/>
      <c r="V103" s="38"/>
      <c r="W103" s="38"/>
      <c r="X103" s="38"/>
      <c r="Y103" s="19"/>
      <c r="Z103" s="19"/>
      <c r="AA103" s="19"/>
      <c r="AB103" s="19"/>
      <c r="AC103" s="49"/>
      <c r="AD103" s="49"/>
      <c r="AE103" s="49"/>
      <c r="AF103" s="49"/>
      <c r="AG103" s="56"/>
      <c r="AH103" s="62"/>
      <c r="AI103" s="68"/>
      <c r="AJ103" s="62"/>
      <c r="AK103" s="62"/>
      <c r="AL103" s="68"/>
      <c r="AM103" s="62"/>
      <c r="AN103" s="81"/>
      <c r="AO103" s="81"/>
      <c r="AP103" s="81"/>
      <c r="AQ103" s="81"/>
      <c r="AR103" s="81"/>
      <c r="AS103" s="75"/>
      <c r="AT103" s="56"/>
      <c r="AU103" s="62"/>
      <c r="AV103" s="68"/>
      <c r="AW103" s="62"/>
      <c r="AX103" s="62"/>
      <c r="AY103" s="68"/>
      <c r="AZ103" s="62"/>
      <c r="BA103" s="81"/>
      <c r="BB103" s="81"/>
      <c r="BC103" s="81"/>
      <c r="BD103" s="81"/>
      <c r="BE103" s="81"/>
      <c r="BF103" s="75"/>
    </row>
    <row r="104" spans="2:58" s="25" customFormat="1" ht="12" customHeight="1" outlineLevel="2" x14ac:dyDescent="0.2">
      <c r="B104" s="22"/>
      <c r="C104" s="23" t="s">
        <v>60</v>
      </c>
      <c r="D104" s="24"/>
      <c r="E104" s="18">
        <f t="shared" ref="E104:L104" si="22">+SUM(E105:E106)</f>
        <v>0</v>
      </c>
      <c r="F104" s="18">
        <f t="shared" si="22"/>
        <v>0</v>
      </c>
      <c r="G104" s="18">
        <f t="shared" si="22"/>
        <v>0</v>
      </c>
      <c r="H104" s="18">
        <f t="shared" si="22"/>
        <v>0</v>
      </c>
      <c r="I104" s="18">
        <f t="shared" si="22"/>
        <v>0</v>
      </c>
      <c r="J104" s="18">
        <f t="shared" si="22"/>
        <v>0</v>
      </c>
      <c r="K104" s="18">
        <f t="shared" si="22"/>
        <v>0</v>
      </c>
      <c r="L104" s="18">
        <f t="shared" si="22"/>
        <v>0</v>
      </c>
      <c r="M104" s="18">
        <f>+SUM(M105:M106)</f>
        <v>5972812.5</v>
      </c>
      <c r="N104" s="18">
        <f>+SUM(N105:N106)</f>
        <v>7656366.9699999997</v>
      </c>
      <c r="O104" s="18">
        <f>+SUM(O105:O106)</f>
        <v>108409142.765</v>
      </c>
      <c r="P104" s="18">
        <f>+SUM(P105:P106)</f>
        <v>66822581.443570018</v>
      </c>
      <c r="Q104" s="18">
        <f>+SUM(Q105:Q107)</f>
        <v>72374366.189444855</v>
      </c>
      <c r="R104" s="18">
        <f>+SUM(R105:R107)</f>
        <v>360521363.10075212</v>
      </c>
      <c r="S104" s="18">
        <f t="shared" ref="S104:X104" si="23">+SUM(S105:S113)</f>
        <v>79926145.944973871</v>
      </c>
      <c r="T104" s="18">
        <f t="shared" si="23"/>
        <v>386128937.3688972</v>
      </c>
      <c r="U104" s="18">
        <f t="shared" si="23"/>
        <v>1230219251.7</v>
      </c>
      <c r="V104" s="18">
        <f t="shared" si="23"/>
        <v>547160365.21889055</v>
      </c>
      <c r="W104" s="18">
        <f t="shared" si="23"/>
        <v>143840497.27090001</v>
      </c>
      <c r="X104" s="18">
        <f t="shared" si="23"/>
        <v>658938246.4134295</v>
      </c>
      <c r="Y104" s="19">
        <f t="shared" ref="Y104:AB104" si="24">+SUM(Y105:Y113)</f>
        <v>164948923.99000001</v>
      </c>
      <c r="Z104" s="19">
        <f t="shared" si="24"/>
        <v>719143991.33999991</v>
      </c>
      <c r="AA104" s="19">
        <f t="shared" si="24"/>
        <v>260875533.49000001</v>
      </c>
      <c r="AB104" s="19">
        <f t="shared" si="24"/>
        <v>1587426430.5689406</v>
      </c>
      <c r="AC104" s="49">
        <v>7280443435.8018932</v>
      </c>
      <c r="AD104" s="49">
        <v>2311634153.3904881</v>
      </c>
      <c r="AE104" s="49">
        <v>0</v>
      </c>
      <c r="AF104" s="49">
        <v>4106536680.8781033</v>
      </c>
      <c r="AG104" s="56">
        <v>352828125</v>
      </c>
      <c r="AH104" s="62">
        <v>0</v>
      </c>
      <c r="AI104" s="68">
        <v>0</v>
      </c>
      <c r="AJ104" s="62">
        <v>404062500</v>
      </c>
      <c r="AK104" s="62">
        <v>0</v>
      </c>
      <c r="AL104" s="68">
        <v>0</v>
      </c>
      <c r="AM104" s="62">
        <v>398062500</v>
      </c>
      <c r="AN104" s="81">
        <v>0</v>
      </c>
      <c r="AO104" s="81">
        <v>0</v>
      </c>
      <c r="AP104" s="81">
        <v>562385156.25</v>
      </c>
      <c r="AQ104" s="81">
        <v>0</v>
      </c>
      <c r="AR104" s="81">
        <v>0</v>
      </c>
      <c r="AS104" s="75">
        <v>1717338281.25</v>
      </c>
      <c r="AT104" s="56">
        <v>796857916.48000002</v>
      </c>
      <c r="AU104" s="62">
        <v>740469544.5</v>
      </c>
      <c r="AV104" s="68">
        <v>223578.23999999999</v>
      </c>
      <c r="AW104" s="62">
        <v>223366954.95000002</v>
      </c>
      <c r="AX104" s="62">
        <v>0</v>
      </c>
      <c r="AY104" s="68">
        <v>1158668078.1299999</v>
      </c>
      <c r="AZ104" s="62">
        <v>909437337.61000001</v>
      </c>
      <c r="BA104" s="81">
        <v>1048110451.09</v>
      </c>
      <c r="BB104" s="81">
        <v>265369.78000000003</v>
      </c>
      <c r="BC104" s="81">
        <v>291042315.95999998</v>
      </c>
      <c r="BD104" s="81">
        <v>381983.43</v>
      </c>
      <c r="BE104" s="81">
        <v>1549245808.9000001</v>
      </c>
      <c r="BF104" s="75">
        <v>6718069339.0731039</v>
      </c>
    </row>
    <row r="105" spans="2:58" s="25" customFormat="1" ht="12" customHeight="1" outlineLevel="2" x14ac:dyDescent="0.2">
      <c r="B105" s="22"/>
      <c r="C105" s="23"/>
      <c r="D105" s="26" t="s">
        <v>76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5972812.5</v>
      </c>
      <c r="N105" s="27">
        <v>7656366.9699999997</v>
      </c>
      <c r="O105" s="27">
        <v>108409142.765</v>
      </c>
      <c r="P105" s="27">
        <v>66822581.443570018</v>
      </c>
      <c r="Q105" s="27">
        <v>72374366.189444855</v>
      </c>
      <c r="R105" s="27">
        <v>58659866.525877066</v>
      </c>
      <c r="S105" s="27">
        <v>79926145.944973871</v>
      </c>
      <c r="T105" s="27">
        <v>54807426.297181748</v>
      </c>
      <c r="U105" s="27">
        <v>96771751.700000003</v>
      </c>
      <c r="V105" s="27">
        <v>54909259.152569994</v>
      </c>
      <c r="W105" s="27">
        <v>143840497.27090001</v>
      </c>
      <c r="X105" s="27">
        <v>63668744.650687985</v>
      </c>
      <c r="Y105" s="21">
        <v>164948923.99000001</v>
      </c>
      <c r="Z105" s="21">
        <v>56821456.849999994</v>
      </c>
      <c r="AA105" s="21">
        <v>260875533.49000001</v>
      </c>
      <c r="AB105" s="21">
        <v>55295841.631055839</v>
      </c>
      <c r="AC105" s="50">
        <v>266402875.80189374</v>
      </c>
      <c r="AD105" s="50">
        <v>29658415.22548794</v>
      </c>
      <c r="AE105" s="50"/>
      <c r="AF105" s="50"/>
      <c r="AG105" s="57"/>
      <c r="AH105" s="63"/>
      <c r="AI105" s="69"/>
      <c r="AJ105" s="63"/>
      <c r="AK105" s="63"/>
      <c r="AL105" s="69"/>
      <c r="AM105" s="63"/>
      <c r="AN105" s="82"/>
      <c r="AO105" s="82"/>
      <c r="AP105" s="82"/>
      <c r="AQ105" s="82"/>
      <c r="AR105" s="82"/>
      <c r="AS105" s="76"/>
      <c r="AT105" s="57"/>
      <c r="AU105" s="63"/>
      <c r="AV105" s="69"/>
      <c r="AW105" s="63"/>
      <c r="AX105" s="63"/>
      <c r="AY105" s="69">
        <v>0</v>
      </c>
      <c r="AZ105" s="63">
        <v>367382.29</v>
      </c>
      <c r="BA105" s="82">
        <v>13747.35</v>
      </c>
      <c r="BB105" s="82">
        <v>0</v>
      </c>
      <c r="BC105" s="82">
        <v>0</v>
      </c>
      <c r="BD105" s="82">
        <v>0</v>
      </c>
      <c r="BE105" s="82">
        <v>0</v>
      </c>
      <c r="BF105" s="76">
        <v>381129.63999999996</v>
      </c>
    </row>
    <row r="106" spans="2:58" s="25" customFormat="1" ht="12" customHeight="1" outlineLevel="2" x14ac:dyDescent="0.2">
      <c r="B106" s="22"/>
      <c r="C106" s="23"/>
      <c r="D106" s="26" t="s">
        <v>77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251366692.98487502</v>
      </c>
      <c r="S106" s="27">
        <v>0</v>
      </c>
      <c r="T106" s="27">
        <v>221756628.62818792</v>
      </c>
      <c r="U106" s="27">
        <v>0</v>
      </c>
      <c r="V106" s="27">
        <v>261414357.45374998</v>
      </c>
      <c r="W106" s="27">
        <v>0</v>
      </c>
      <c r="X106" s="27">
        <v>399495111.83536267</v>
      </c>
      <c r="Y106" s="19"/>
      <c r="Z106" s="21">
        <v>444535871.10999995</v>
      </c>
      <c r="AA106" s="21"/>
      <c r="AB106" s="21">
        <v>942773681.42167783</v>
      </c>
      <c r="AC106" s="50">
        <v>3542488560</v>
      </c>
      <c r="AD106" s="50">
        <v>412540426.89999998</v>
      </c>
      <c r="AE106" s="50"/>
      <c r="AF106" s="50">
        <v>132193.51</v>
      </c>
      <c r="AG106" s="57"/>
      <c r="AH106" s="63"/>
      <c r="AI106" s="69"/>
      <c r="AJ106" s="63"/>
      <c r="AK106" s="63"/>
      <c r="AL106" s="69"/>
      <c r="AM106" s="63"/>
      <c r="AN106" s="82"/>
      <c r="AO106" s="82"/>
      <c r="AP106" s="82"/>
      <c r="AQ106" s="82"/>
      <c r="AR106" s="82"/>
      <c r="AS106" s="76"/>
      <c r="AT106" s="57"/>
      <c r="AU106" s="63"/>
      <c r="AV106" s="69"/>
      <c r="AW106" s="63"/>
      <c r="AX106" s="63"/>
      <c r="AY106" s="69"/>
      <c r="AZ106" s="63"/>
      <c r="BA106" s="82"/>
      <c r="BB106" s="82"/>
      <c r="BC106" s="82"/>
      <c r="BD106" s="82"/>
      <c r="BE106" s="82"/>
      <c r="BF106" s="76"/>
    </row>
    <row r="107" spans="2:58" s="25" customFormat="1" ht="12" customHeight="1" outlineLevel="2" x14ac:dyDescent="0.2">
      <c r="B107" s="22"/>
      <c r="C107" s="23"/>
      <c r="D107" s="26" t="s">
        <v>78</v>
      </c>
      <c r="E107" s="18"/>
      <c r="F107" s="18"/>
      <c r="G107" s="18"/>
      <c r="H107" s="18"/>
      <c r="I107" s="18"/>
      <c r="J107" s="18"/>
      <c r="K107" s="18"/>
      <c r="L107" s="18"/>
      <c r="M107" s="27"/>
      <c r="N107" s="27"/>
      <c r="O107" s="27"/>
      <c r="P107" s="27"/>
      <c r="Q107" s="27">
        <v>0</v>
      </c>
      <c r="R107" s="27">
        <v>50494803.590000004</v>
      </c>
      <c r="S107" s="27">
        <v>0</v>
      </c>
      <c r="T107" s="27">
        <v>108626017.72352749</v>
      </c>
      <c r="U107" s="27">
        <v>0</v>
      </c>
      <c r="V107" s="27">
        <v>128046526.03</v>
      </c>
      <c r="W107" s="27">
        <v>0</v>
      </c>
      <c r="X107" s="27">
        <v>195774389.92737883</v>
      </c>
      <c r="Y107" s="19"/>
      <c r="Z107" s="21">
        <v>217786663.38</v>
      </c>
      <c r="AA107" s="21"/>
      <c r="AB107" s="21">
        <v>176201395.68999997</v>
      </c>
      <c r="AC107" s="50">
        <v>3471552000</v>
      </c>
      <c r="AD107" s="50">
        <v>404279511.37</v>
      </c>
      <c r="AE107" s="50"/>
      <c r="AF107" s="50"/>
      <c r="AG107" s="57"/>
      <c r="AH107" s="63"/>
      <c r="AI107" s="69"/>
      <c r="AJ107" s="63"/>
      <c r="AK107" s="63"/>
      <c r="AL107" s="69"/>
      <c r="AM107" s="63"/>
      <c r="AN107" s="82"/>
      <c r="AO107" s="82"/>
      <c r="AP107" s="82"/>
      <c r="AQ107" s="82"/>
      <c r="AR107" s="82"/>
      <c r="AS107" s="76"/>
      <c r="AT107" s="57"/>
      <c r="AU107" s="63"/>
      <c r="AV107" s="69"/>
      <c r="AW107" s="63"/>
      <c r="AX107" s="63"/>
      <c r="AY107" s="69"/>
      <c r="AZ107" s="63"/>
      <c r="BA107" s="82"/>
      <c r="BB107" s="82"/>
      <c r="BC107" s="82"/>
      <c r="BD107" s="82"/>
      <c r="BE107" s="82"/>
      <c r="BF107" s="76"/>
    </row>
    <row r="108" spans="2:58" s="25" customFormat="1" ht="12" customHeight="1" outlineLevel="2" x14ac:dyDescent="0.2">
      <c r="B108" s="22"/>
      <c r="C108" s="23"/>
      <c r="D108" s="26" t="s">
        <v>87</v>
      </c>
      <c r="E108" s="18"/>
      <c r="F108" s="18"/>
      <c r="G108" s="18"/>
      <c r="H108" s="18"/>
      <c r="I108" s="18"/>
      <c r="J108" s="18"/>
      <c r="K108" s="18"/>
      <c r="L108" s="1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19"/>
      <c r="Z108" s="21"/>
      <c r="AA108" s="21"/>
      <c r="AB108" s="21">
        <v>413155511.8262068</v>
      </c>
      <c r="AC108" s="50">
        <v>0</v>
      </c>
      <c r="AD108" s="50">
        <v>863676914.55500007</v>
      </c>
      <c r="AE108" s="50">
        <v>0</v>
      </c>
      <c r="AF108" s="50">
        <v>1605068915.5481033</v>
      </c>
      <c r="AG108" s="57">
        <v>0</v>
      </c>
      <c r="AH108" s="63">
        <v>0</v>
      </c>
      <c r="AI108" s="69">
        <v>0</v>
      </c>
      <c r="AJ108" s="63">
        <v>0</v>
      </c>
      <c r="AK108" s="63">
        <v>0</v>
      </c>
      <c r="AL108" s="69">
        <v>0</v>
      </c>
      <c r="AM108" s="63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76">
        <v>0</v>
      </c>
      <c r="AT108" s="57">
        <v>0</v>
      </c>
      <c r="AU108" s="63">
        <v>0</v>
      </c>
      <c r="AV108" s="69">
        <v>0</v>
      </c>
      <c r="AW108" s="63">
        <v>0</v>
      </c>
      <c r="AX108" s="63">
        <v>0</v>
      </c>
      <c r="AY108" s="69">
        <v>1158668078.1299999</v>
      </c>
      <c r="AZ108" s="63">
        <v>0</v>
      </c>
      <c r="BA108" s="82">
        <v>0</v>
      </c>
      <c r="BB108" s="82">
        <v>0</v>
      </c>
      <c r="BC108" s="82">
        <v>0</v>
      </c>
      <c r="BD108" s="82">
        <v>0</v>
      </c>
      <c r="BE108" s="82">
        <v>1548853562.5</v>
      </c>
      <c r="BF108" s="76">
        <v>2707521640.6331034</v>
      </c>
    </row>
    <row r="109" spans="2:58" s="25" customFormat="1" ht="12" customHeight="1" outlineLevel="2" x14ac:dyDescent="0.2">
      <c r="B109" s="22"/>
      <c r="C109" s="23"/>
      <c r="D109" s="26" t="s">
        <v>91</v>
      </c>
      <c r="E109" s="18"/>
      <c r="F109" s="18"/>
      <c r="G109" s="18"/>
      <c r="H109" s="18"/>
      <c r="I109" s="18"/>
      <c r="J109" s="18"/>
      <c r="K109" s="18"/>
      <c r="L109" s="1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19"/>
      <c r="Z109" s="21"/>
      <c r="AA109" s="21"/>
      <c r="AB109" s="21"/>
      <c r="AC109" s="50">
        <v>0</v>
      </c>
      <c r="AD109" s="50">
        <v>329503687.19999999</v>
      </c>
      <c r="AE109" s="50">
        <v>0</v>
      </c>
      <c r="AF109" s="50">
        <v>966431681.97000003</v>
      </c>
      <c r="AG109" s="57">
        <v>0</v>
      </c>
      <c r="AH109" s="63">
        <v>0</v>
      </c>
      <c r="AI109" s="69">
        <v>0</v>
      </c>
      <c r="AJ109" s="63">
        <v>0</v>
      </c>
      <c r="AK109" s="63">
        <v>0</v>
      </c>
      <c r="AL109" s="69">
        <v>0</v>
      </c>
      <c r="AM109" s="63">
        <v>0</v>
      </c>
      <c r="AN109" s="82">
        <v>0</v>
      </c>
      <c r="AO109" s="82">
        <v>0</v>
      </c>
      <c r="AP109" s="82">
        <v>0</v>
      </c>
      <c r="AQ109" s="82">
        <v>0</v>
      </c>
      <c r="AR109" s="82">
        <v>0</v>
      </c>
      <c r="AS109" s="76">
        <v>0</v>
      </c>
      <c r="AT109" s="57">
        <v>0</v>
      </c>
      <c r="AU109" s="63">
        <v>740256548.69000006</v>
      </c>
      <c r="AV109" s="69">
        <v>0</v>
      </c>
      <c r="AW109" s="63">
        <v>0</v>
      </c>
      <c r="AX109" s="63">
        <v>0</v>
      </c>
      <c r="AY109" s="69">
        <v>0</v>
      </c>
      <c r="AZ109" s="63">
        <v>0</v>
      </c>
      <c r="BA109" s="82">
        <v>1047598677.23</v>
      </c>
      <c r="BB109" s="82">
        <v>0</v>
      </c>
      <c r="BC109" s="82">
        <v>0</v>
      </c>
      <c r="BD109" s="82">
        <v>0</v>
      </c>
      <c r="BE109" s="82">
        <v>0</v>
      </c>
      <c r="BF109" s="76">
        <v>1787855225.9200001</v>
      </c>
    </row>
    <row r="110" spans="2:58" s="25" customFormat="1" ht="12" customHeight="1" outlineLevel="2" x14ac:dyDescent="0.2">
      <c r="B110" s="22"/>
      <c r="C110" s="23"/>
      <c r="D110" s="26" t="s">
        <v>93</v>
      </c>
      <c r="E110" s="18"/>
      <c r="F110" s="18"/>
      <c r="G110" s="18"/>
      <c r="H110" s="18"/>
      <c r="I110" s="18"/>
      <c r="J110" s="18"/>
      <c r="K110" s="18"/>
      <c r="L110" s="1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19"/>
      <c r="Z110" s="21"/>
      <c r="AA110" s="21"/>
      <c r="AB110" s="21"/>
      <c r="AC110" s="50">
        <v>0</v>
      </c>
      <c r="AD110" s="50">
        <v>687690</v>
      </c>
      <c r="AE110" s="50">
        <v>0</v>
      </c>
      <c r="AF110" s="50">
        <v>800812891.72000003</v>
      </c>
      <c r="AG110" s="57">
        <v>0</v>
      </c>
      <c r="AH110" s="63">
        <v>0</v>
      </c>
      <c r="AI110" s="69">
        <v>0</v>
      </c>
      <c r="AJ110" s="63">
        <v>0</v>
      </c>
      <c r="AK110" s="63">
        <v>0</v>
      </c>
      <c r="AL110" s="69">
        <v>0</v>
      </c>
      <c r="AM110" s="63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v>0</v>
      </c>
      <c r="AS110" s="76">
        <v>0</v>
      </c>
      <c r="AT110" s="57">
        <v>595667312.63999999</v>
      </c>
      <c r="AU110" s="63">
        <v>0</v>
      </c>
      <c r="AV110" s="69">
        <v>0</v>
      </c>
      <c r="AW110" s="63">
        <v>0</v>
      </c>
      <c r="AX110" s="63">
        <v>0</v>
      </c>
      <c r="AY110" s="69">
        <v>0</v>
      </c>
      <c r="AZ110" s="63">
        <v>695708345.62</v>
      </c>
      <c r="BA110" s="82">
        <v>0</v>
      </c>
      <c r="BB110" s="82">
        <v>0</v>
      </c>
      <c r="BC110" s="82">
        <v>0</v>
      </c>
      <c r="BD110" s="82">
        <v>0</v>
      </c>
      <c r="BE110" s="82">
        <v>0</v>
      </c>
      <c r="BF110" s="76">
        <v>1291375658.26</v>
      </c>
    </row>
    <row r="111" spans="2:58" s="25" customFormat="1" ht="12" customHeight="1" outlineLevel="2" x14ac:dyDescent="0.2">
      <c r="B111" s="22"/>
      <c r="C111" s="23"/>
      <c r="D111" s="26" t="s">
        <v>90</v>
      </c>
      <c r="E111" s="18"/>
      <c r="F111" s="18"/>
      <c r="G111" s="18"/>
      <c r="H111" s="18"/>
      <c r="I111" s="18"/>
      <c r="J111" s="18"/>
      <c r="K111" s="18"/>
      <c r="L111" s="1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19"/>
      <c r="Z111" s="21"/>
      <c r="AA111" s="21"/>
      <c r="AB111" s="21"/>
      <c r="AC111" s="50">
        <v>0</v>
      </c>
      <c r="AD111" s="50">
        <v>271287508.13999999</v>
      </c>
      <c r="AE111" s="50">
        <v>0</v>
      </c>
      <c r="AF111" s="50">
        <v>734090998.13</v>
      </c>
      <c r="AG111" s="57">
        <v>352828125</v>
      </c>
      <c r="AH111" s="63">
        <v>0</v>
      </c>
      <c r="AI111" s="69">
        <v>0</v>
      </c>
      <c r="AJ111" s="63">
        <v>404062500</v>
      </c>
      <c r="AK111" s="63">
        <v>0</v>
      </c>
      <c r="AL111" s="69">
        <v>0</v>
      </c>
      <c r="AM111" s="63">
        <v>398062500</v>
      </c>
      <c r="AN111" s="82">
        <v>0</v>
      </c>
      <c r="AO111" s="82">
        <v>0</v>
      </c>
      <c r="AP111" s="82">
        <v>562385156.25</v>
      </c>
      <c r="AQ111" s="82">
        <v>0</v>
      </c>
      <c r="AR111" s="82">
        <v>0</v>
      </c>
      <c r="AS111" s="76">
        <v>1717338281.25</v>
      </c>
      <c r="AT111" s="57">
        <v>201190603.84</v>
      </c>
      <c r="AU111" s="63">
        <v>212995.81</v>
      </c>
      <c r="AV111" s="69">
        <v>223578.23999999999</v>
      </c>
      <c r="AW111" s="63">
        <v>223366954.95000002</v>
      </c>
      <c r="AX111" s="63">
        <v>0</v>
      </c>
      <c r="AY111" s="69">
        <v>0</v>
      </c>
      <c r="AZ111" s="63">
        <v>213361609.70000002</v>
      </c>
      <c r="BA111" s="82">
        <v>498026.51</v>
      </c>
      <c r="BB111" s="82">
        <v>265369.78000000003</v>
      </c>
      <c r="BC111" s="82">
        <v>291042315.95999998</v>
      </c>
      <c r="BD111" s="82">
        <v>381983.43</v>
      </c>
      <c r="BE111" s="82">
        <v>392246.4</v>
      </c>
      <c r="BF111" s="76">
        <v>930935684.61999989</v>
      </c>
    </row>
    <row r="112" spans="2:58" s="25" customFormat="1" ht="12" customHeight="1" outlineLevel="2" x14ac:dyDescent="0.2">
      <c r="B112" s="22"/>
      <c r="C112" s="23"/>
      <c r="D112" s="26" t="s">
        <v>79</v>
      </c>
      <c r="E112" s="18"/>
      <c r="F112" s="18"/>
      <c r="G112" s="18"/>
      <c r="H112" s="18"/>
      <c r="I112" s="18"/>
      <c r="J112" s="18"/>
      <c r="K112" s="18"/>
      <c r="L112" s="18"/>
      <c r="M112" s="27"/>
      <c r="N112" s="27"/>
      <c r="O112" s="27"/>
      <c r="P112" s="27"/>
      <c r="Q112" s="27"/>
      <c r="R112" s="27"/>
      <c r="S112" s="27">
        <v>0</v>
      </c>
      <c r="T112" s="27">
        <v>938864.72</v>
      </c>
      <c r="U112" s="27">
        <v>570227500</v>
      </c>
      <c r="V112" s="27">
        <v>53317678.422570571</v>
      </c>
      <c r="W112" s="27">
        <v>0</v>
      </c>
      <c r="X112" s="27"/>
      <c r="Y112" s="19"/>
      <c r="Z112" s="19"/>
      <c r="AA112" s="19"/>
      <c r="AB112" s="19"/>
      <c r="AC112" s="49"/>
      <c r="AD112" s="49"/>
      <c r="AE112" s="49"/>
      <c r="AF112" s="49"/>
      <c r="AG112" s="56"/>
      <c r="AH112" s="62"/>
      <c r="AI112" s="68"/>
      <c r="AJ112" s="62"/>
      <c r="AK112" s="62"/>
      <c r="AL112" s="68"/>
      <c r="AM112" s="62"/>
      <c r="AN112" s="81"/>
      <c r="AO112" s="81"/>
      <c r="AP112" s="81"/>
      <c r="AQ112" s="81"/>
      <c r="AR112" s="81"/>
      <c r="AS112" s="75"/>
      <c r="AT112" s="56"/>
      <c r="AU112" s="62"/>
      <c r="AV112" s="68"/>
      <c r="AW112" s="62"/>
      <c r="AX112" s="62"/>
      <c r="AY112" s="68"/>
      <c r="AZ112" s="62"/>
      <c r="BA112" s="81"/>
      <c r="BB112" s="81"/>
      <c r="BC112" s="81"/>
      <c r="BD112" s="81"/>
      <c r="BE112" s="81"/>
      <c r="BF112" s="75"/>
    </row>
    <row r="113" spans="2:58" s="25" customFormat="1" ht="12" customHeight="1" outlineLevel="2" x14ac:dyDescent="0.2">
      <c r="B113" s="22"/>
      <c r="C113" s="23"/>
      <c r="D113" s="26" t="s">
        <v>80</v>
      </c>
      <c r="E113" s="18"/>
      <c r="F113" s="18"/>
      <c r="G113" s="18"/>
      <c r="H113" s="18"/>
      <c r="I113" s="18"/>
      <c r="J113" s="18"/>
      <c r="K113" s="18"/>
      <c r="L113" s="18"/>
      <c r="M113" s="27"/>
      <c r="N113" s="27"/>
      <c r="O113" s="27"/>
      <c r="P113" s="27"/>
      <c r="Q113" s="27"/>
      <c r="R113" s="27"/>
      <c r="S113" s="27">
        <v>0</v>
      </c>
      <c r="T113" s="27">
        <v>0</v>
      </c>
      <c r="U113" s="27">
        <v>563220000</v>
      </c>
      <c r="V113" s="27">
        <v>49472544.159999996</v>
      </c>
      <c r="W113" s="27"/>
      <c r="X113" s="27"/>
      <c r="Y113" s="19"/>
      <c r="Z113" s="19"/>
      <c r="AA113" s="19"/>
      <c r="AB113" s="19"/>
      <c r="AC113" s="49"/>
      <c r="AD113" s="49"/>
      <c r="AE113" s="49"/>
      <c r="AF113" s="49"/>
      <c r="AG113" s="56"/>
      <c r="AH113" s="62"/>
      <c r="AI113" s="68"/>
      <c r="AJ113" s="62"/>
      <c r="AK113" s="62"/>
      <c r="AL113" s="68"/>
      <c r="AM113" s="62"/>
      <c r="AN113" s="81"/>
      <c r="AO113" s="81"/>
      <c r="AP113" s="81"/>
      <c r="AQ113" s="81"/>
      <c r="AR113" s="81"/>
      <c r="AS113" s="75"/>
      <c r="AT113" s="56"/>
      <c r="AU113" s="62"/>
      <c r="AV113" s="68"/>
      <c r="AW113" s="62"/>
      <c r="AX113" s="62"/>
      <c r="AY113" s="68"/>
      <c r="AZ113" s="62"/>
      <c r="BA113" s="81"/>
      <c r="BB113" s="81"/>
      <c r="BC113" s="81"/>
      <c r="BD113" s="81"/>
      <c r="BE113" s="81"/>
      <c r="BF113" s="75"/>
    </row>
    <row r="114" spans="2:58" s="25" customFormat="1" ht="12" customHeight="1" outlineLevel="2" x14ac:dyDescent="0.2">
      <c r="B114" s="22"/>
      <c r="C114" s="23"/>
      <c r="D114" s="26"/>
      <c r="E114" s="18"/>
      <c r="F114" s="18"/>
      <c r="G114" s="18"/>
      <c r="H114" s="18"/>
      <c r="I114" s="18"/>
      <c r="J114" s="18"/>
      <c r="K114" s="18"/>
      <c r="L114" s="1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19"/>
      <c r="Z114" s="19"/>
      <c r="AA114" s="19"/>
      <c r="AB114" s="19"/>
      <c r="AC114" s="49"/>
      <c r="AD114" s="49"/>
      <c r="AE114" s="49"/>
      <c r="AF114" s="49"/>
      <c r="AG114" s="56"/>
      <c r="AH114" s="62"/>
      <c r="AI114" s="68"/>
      <c r="AJ114" s="62"/>
      <c r="AK114" s="62"/>
      <c r="AL114" s="68"/>
      <c r="AM114" s="62"/>
      <c r="AN114" s="81"/>
      <c r="AO114" s="81"/>
      <c r="AP114" s="81"/>
      <c r="AQ114" s="81"/>
      <c r="AR114" s="81"/>
      <c r="AS114" s="75"/>
      <c r="AT114" s="56"/>
      <c r="AU114" s="62"/>
      <c r="AV114" s="68"/>
      <c r="AW114" s="62"/>
      <c r="AX114" s="62"/>
      <c r="AY114" s="68"/>
      <c r="AZ114" s="62"/>
      <c r="BA114" s="81"/>
      <c r="BB114" s="81"/>
      <c r="BC114" s="81"/>
      <c r="BD114" s="81"/>
      <c r="BE114" s="81"/>
      <c r="BF114" s="75"/>
    </row>
    <row r="115" spans="2:58" s="25" customFormat="1" ht="12" customHeight="1" outlineLevel="2" x14ac:dyDescent="0.2">
      <c r="B115" s="22"/>
      <c r="C115" s="23" t="s">
        <v>62</v>
      </c>
      <c r="D115" s="26"/>
      <c r="E115" s="18">
        <f t="shared" ref="E115:Q115" si="25">+SUM(E116:E118)</f>
        <v>0</v>
      </c>
      <c r="F115" s="18">
        <f t="shared" si="25"/>
        <v>0</v>
      </c>
      <c r="G115" s="18">
        <f t="shared" si="25"/>
        <v>0</v>
      </c>
      <c r="H115" s="18">
        <f t="shared" si="25"/>
        <v>0</v>
      </c>
      <c r="I115" s="18">
        <f t="shared" si="25"/>
        <v>0</v>
      </c>
      <c r="J115" s="18">
        <f t="shared" si="25"/>
        <v>0</v>
      </c>
      <c r="K115" s="18">
        <f t="shared" si="25"/>
        <v>0</v>
      </c>
      <c r="L115" s="18">
        <f t="shared" si="25"/>
        <v>0</v>
      </c>
      <c r="M115" s="18">
        <f t="shared" si="25"/>
        <v>0</v>
      </c>
      <c r="N115" s="18">
        <f t="shared" si="25"/>
        <v>0</v>
      </c>
      <c r="O115" s="18">
        <f t="shared" si="25"/>
        <v>0</v>
      </c>
      <c r="P115" s="18">
        <f t="shared" si="25"/>
        <v>0</v>
      </c>
      <c r="Q115" s="18">
        <f t="shared" si="25"/>
        <v>10580659.405923652</v>
      </c>
      <c r="R115" s="18">
        <f t="shared" ref="R115:X115" si="26">+SUM(R116:R118)</f>
        <v>8480338.2692728303</v>
      </c>
      <c r="S115" s="18">
        <f t="shared" si="26"/>
        <v>12357437.652815418</v>
      </c>
      <c r="T115" s="18">
        <f t="shared" si="26"/>
        <v>7893471.4164993661</v>
      </c>
      <c r="U115" s="18">
        <f t="shared" si="26"/>
        <v>16437879.376418423</v>
      </c>
      <c r="V115" s="18">
        <f t="shared" si="26"/>
        <v>9042525.5600000005</v>
      </c>
      <c r="W115" s="18">
        <f>+SUM(W116:W118)</f>
        <v>26875715.34</v>
      </c>
      <c r="X115" s="18">
        <f t="shared" si="26"/>
        <v>10659686.408000002</v>
      </c>
      <c r="Y115" s="19">
        <f t="shared" ref="Y115:AB115" si="27">+SUM(Y116:Y118)</f>
        <v>29873525.919999994</v>
      </c>
      <c r="Z115" s="19">
        <f t="shared" si="27"/>
        <v>8273889.9040000001</v>
      </c>
      <c r="AA115" s="19">
        <f t="shared" si="27"/>
        <v>57801843.160000004</v>
      </c>
      <c r="AB115" s="19">
        <f t="shared" si="27"/>
        <v>7954992.2139999811</v>
      </c>
      <c r="AC115" s="49">
        <v>47592873.890000001</v>
      </c>
      <c r="AD115" s="49">
        <v>5129340.021799989</v>
      </c>
      <c r="AE115" s="49">
        <v>63005497.389999993</v>
      </c>
      <c r="AF115" s="49">
        <v>14013330.630619997</v>
      </c>
      <c r="AG115" s="56">
        <v>6239398.9199999999</v>
      </c>
      <c r="AH115" s="62">
        <v>6521633.4500000002</v>
      </c>
      <c r="AI115" s="68">
        <v>7324657.8600000003</v>
      </c>
      <c r="AJ115" s="62">
        <v>7576652.9699999997</v>
      </c>
      <c r="AK115" s="62">
        <v>7534653.79</v>
      </c>
      <c r="AL115" s="68">
        <v>7223859.8200000003</v>
      </c>
      <c r="AM115" s="62">
        <v>7375056.8899999997</v>
      </c>
      <c r="AN115" s="81">
        <v>9340618.7400000002</v>
      </c>
      <c r="AO115" s="81">
        <v>9584214.0199999996</v>
      </c>
      <c r="AP115" s="81">
        <v>10147003.1</v>
      </c>
      <c r="AQ115" s="81">
        <v>10054604.890000001</v>
      </c>
      <c r="AR115" s="81">
        <v>10063004.73</v>
      </c>
      <c r="AS115" s="75">
        <v>98985359.180000007</v>
      </c>
      <c r="AT115" s="56">
        <v>1350385.9999999998</v>
      </c>
      <c r="AU115" s="62">
        <v>1405487.61</v>
      </c>
      <c r="AV115" s="68">
        <v>1571182.21</v>
      </c>
      <c r="AW115" s="62">
        <v>1619880.0799999998</v>
      </c>
      <c r="AX115" s="62">
        <v>1601155.31</v>
      </c>
      <c r="AY115" s="68">
        <v>1527313.01</v>
      </c>
      <c r="AZ115" s="62">
        <v>1551414.81</v>
      </c>
      <c r="BA115" s="81">
        <v>1956193.7700000003</v>
      </c>
      <c r="BB115" s="81">
        <v>1998253.73</v>
      </c>
      <c r="BC115" s="81">
        <v>2104316.9500000002</v>
      </c>
      <c r="BD115" s="81">
        <v>2076547.53</v>
      </c>
      <c r="BE115" s="81">
        <v>2068281.56</v>
      </c>
      <c r="BF115" s="75">
        <v>20830412.57</v>
      </c>
    </row>
    <row r="116" spans="2:58" s="25" customFormat="1" ht="12" customHeight="1" outlineLevel="2" x14ac:dyDescent="0.2">
      <c r="B116" s="22"/>
      <c r="C116" s="23"/>
      <c r="D116" s="26" t="s">
        <v>81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9279470.8487098068</v>
      </c>
      <c r="R116" s="27">
        <v>7400207.85857426</v>
      </c>
      <c r="S116" s="27">
        <v>11269978.18</v>
      </c>
      <c r="T116" s="27">
        <v>7024772.4331999999</v>
      </c>
      <c r="U116" s="27">
        <v>14991420.116434671</v>
      </c>
      <c r="V116" s="27">
        <v>7184124.3799999999</v>
      </c>
      <c r="W116" s="27">
        <v>24510896.869999997</v>
      </c>
      <c r="X116" s="27">
        <v>7842764.2880000016</v>
      </c>
      <c r="Y116" s="21">
        <v>27245060.789999995</v>
      </c>
      <c r="Z116" s="21">
        <v>6257688.2439999999</v>
      </c>
      <c r="AA116" s="21">
        <v>52716300.790000007</v>
      </c>
      <c r="AB116" s="21">
        <v>7027532.9179999866</v>
      </c>
      <c r="AC116" s="50">
        <v>30063447</v>
      </c>
      <c r="AD116" s="50">
        <v>1300612.1139999889</v>
      </c>
      <c r="AE116" s="50"/>
      <c r="AF116" s="50"/>
      <c r="AG116" s="57"/>
      <c r="AH116" s="63"/>
      <c r="AI116" s="69"/>
      <c r="AJ116" s="63"/>
      <c r="AK116" s="63"/>
      <c r="AL116" s="69"/>
      <c r="AM116" s="63"/>
      <c r="AN116" s="82"/>
      <c r="AO116" s="82"/>
      <c r="AP116" s="82"/>
      <c r="AQ116" s="82"/>
      <c r="AR116" s="82"/>
      <c r="AS116" s="76"/>
      <c r="AT116" s="57"/>
      <c r="AU116" s="63"/>
      <c r="AV116" s="69"/>
      <c r="AW116" s="63"/>
      <c r="AX116" s="63"/>
      <c r="AY116" s="69"/>
      <c r="AZ116" s="63"/>
      <c r="BA116" s="82"/>
      <c r="BB116" s="82"/>
      <c r="BC116" s="82"/>
      <c r="BD116" s="82"/>
      <c r="BE116" s="82"/>
      <c r="BF116" s="76"/>
    </row>
    <row r="117" spans="2:58" s="14" customFormat="1" ht="12.75" customHeight="1" x14ac:dyDescent="0.2">
      <c r="B117" s="22"/>
      <c r="C117" s="23"/>
      <c r="D117" s="26" t="s">
        <v>82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932052.46756480832</v>
      </c>
      <c r="R117" s="27">
        <v>775555.56034760247</v>
      </c>
      <c r="S117" s="27">
        <v>779013.04281541868</v>
      </c>
      <c r="T117" s="27">
        <v>565596.69703892583</v>
      </c>
      <c r="U117" s="27">
        <v>1036246.1277222385</v>
      </c>
      <c r="V117" s="27">
        <v>1331576.52</v>
      </c>
      <c r="W117" s="27">
        <v>1694257.28</v>
      </c>
      <c r="X117" s="27">
        <v>1546261.2</v>
      </c>
      <c r="Y117" s="21">
        <v>1883249.8</v>
      </c>
      <c r="Z117" s="21">
        <v>1431396.3</v>
      </c>
      <c r="AA117" s="21">
        <v>3643913.36</v>
      </c>
      <c r="AB117" s="21">
        <v>685595.59600000002</v>
      </c>
      <c r="AC117" s="50">
        <v>2078083.17</v>
      </c>
      <c r="AD117" s="50">
        <v>119026.90360000005</v>
      </c>
      <c r="AE117" s="50"/>
      <c r="AF117" s="50"/>
      <c r="AG117" s="57"/>
      <c r="AH117" s="63"/>
      <c r="AI117" s="69"/>
      <c r="AJ117" s="63"/>
      <c r="AK117" s="63"/>
      <c r="AL117" s="69"/>
      <c r="AM117" s="63"/>
      <c r="AN117" s="82"/>
      <c r="AO117" s="82"/>
      <c r="AP117" s="82"/>
      <c r="AQ117" s="82"/>
      <c r="AR117" s="82"/>
      <c r="AS117" s="76"/>
      <c r="AT117" s="57"/>
      <c r="AU117" s="63"/>
      <c r="AV117" s="69"/>
      <c r="AW117" s="63"/>
      <c r="AX117" s="63"/>
      <c r="AY117" s="69"/>
      <c r="AZ117" s="63"/>
      <c r="BA117" s="82"/>
      <c r="BB117" s="82"/>
      <c r="BC117" s="82"/>
      <c r="BD117" s="82"/>
      <c r="BE117" s="82"/>
      <c r="BF117" s="76"/>
    </row>
    <row r="118" spans="2:58" s="14" customFormat="1" ht="12.75" customHeight="1" x14ac:dyDescent="0.2">
      <c r="B118" s="28"/>
      <c r="C118" s="23"/>
      <c r="D118" s="26" t="s">
        <v>83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7">
        <v>369136.08964903618</v>
      </c>
      <c r="R118" s="27">
        <v>304574.85035096772</v>
      </c>
      <c r="S118" s="27">
        <v>308446.43</v>
      </c>
      <c r="T118" s="27">
        <v>303102.28626044031</v>
      </c>
      <c r="U118" s="27">
        <v>410213.13226151292</v>
      </c>
      <c r="V118" s="27">
        <v>526824.66</v>
      </c>
      <c r="W118" s="27">
        <v>670561.18999999994</v>
      </c>
      <c r="X118" s="27">
        <v>1270660.92</v>
      </c>
      <c r="Y118" s="21">
        <v>745215.33</v>
      </c>
      <c r="Z118" s="21">
        <v>584805.36</v>
      </c>
      <c r="AA118" s="21">
        <v>1441629.0100000002</v>
      </c>
      <c r="AB118" s="21">
        <v>241863.69999999425</v>
      </c>
      <c r="AC118" s="50">
        <v>822019.61</v>
      </c>
      <c r="AD118" s="50">
        <v>22980.43</v>
      </c>
      <c r="AE118" s="50"/>
      <c r="AF118" s="50"/>
      <c r="AG118" s="57"/>
      <c r="AH118" s="63"/>
      <c r="AI118" s="69"/>
      <c r="AJ118" s="63"/>
      <c r="AK118" s="63"/>
      <c r="AL118" s="69"/>
      <c r="AM118" s="63"/>
      <c r="AN118" s="82"/>
      <c r="AO118" s="82"/>
      <c r="AP118" s="82"/>
      <c r="AQ118" s="82"/>
      <c r="AR118" s="82"/>
      <c r="AS118" s="76"/>
      <c r="AT118" s="57"/>
      <c r="AU118" s="63"/>
      <c r="AV118" s="69"/>
      <c r="AW118" s="63"/>
      <c r="AX118" s="63"/>
      <c r="AY118" s="69"/>
      <c r="AZ118" s="63"/>
      <c r="BA118" s="82"/>
      <c r="BB118" s="82"/>
      <c r="BC118" s="82"/>
      <c r="BD118" s="82"/>
      <c r="BE118" s="82"/>
      <c r="BF118" s="76"/>
    </row>
    <row r="119" spans="2:58" s="14" customFormat="1" ht="12.75" customHeight="1" x14ac:dyDescent="0.2">
      <c r="B119" s="28"/>
      <c r="C119" s="23"/>
      <c r="D119" s="26" t="s">
        <v>95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7"/>
      <c r="R119" s="27"/>
      <c r="S119" s="27"/>
      <c r="T119" s="27"/>
      <c r="U119" s="27"/>
      <c r="V119" s="27"/>
      <c r="W119" s="27"/>
      <c r="X119" s="27"/>
      <c r="Y119" s="21"/>
      <c r="Z119" s="21"/>
      <c r="AA119" s="21"/>
      <c r="AB119" s="21"/>
      <c r="AC119" s="50">
        <v>14629324.109999999</v>
      </c>
      <c r="AD119" s="50">
        <v>3686720.5742000001</v>
      </c>
      <c r="AE119" s="50">
        <v>63005497.389999993</v>
      </c>
      <c r="AF119" s="50">
        <v>14013330.630619997</v>
      </c>
      <c r="AG119" s="57">
        <v>6239398.9199999999</v>
      </c>
      <c r="AH119" s="63">
        <v>6521633.4500000002</v>
      </c>
      <c r="AI119" s="69">
        <v>7324657.8600000003</v>
      </c>
      <c r="AJ119" s="63">
        <v>7576652.9699999997</v>
      </c>
      <c r="AK119" s="63">
        <v>7534653.79</v>
      </c>
      <c r="AL119" s="69">
        <v>7223859.8200000003</v>
      </c>
      <c r="AM119" s="63">
        <v>7375056.8899999997</v>
      </c>
      <c r="AN119" s="82">
        <v>9340618.7400000002</v>
      </c>
      <c r="AO119" s="82">
        <v>9584214.0199999996</v>
      </c>
      <c r="AP119" s="82">
        <v>10147003.1</v>
      </c>
      <c r="AQ119" s="82">
        <v>10054604.890000001</v>
      </c>
      <c r="AR119" s="82">
        <v>10063004.73</v>
      </c>
      <c r="AS119" s="76">
        <v>98985359.180000007</v>
      </c>
      <c r="AT119" s="57">
        <v>1350385.9999999998</v>
      </c>
      <c r="AU119" s="63">
        <v>1405487.61</v>
      </c>
      <c r="AV119" s="69">
        <v>1571182.21</v>
      </c>
      <c r="AW119" s="63">
        <v>1619880.0799999998</v>
      </c>
      <c r="AX119" s="63">
        <v>1601155.31</v>
      </c>
      <c r="AY119" s="69">
        <v>1527313.01</v>
      </c>
      <c r="AZ119" s="63">
        <v>1551414.81</v>
      </c>
      <c r="BA119" s="82">
        <v>1956193.7700000003</v>
      </c>
      <c r="BB119" s="82">
        <v>1998253.73</v>
      </c>
      <c r="BC119" s="82">
        <v>2104316.9500000002</v>
      </c>
      <c r="BD119" s="82">
        <v>2076547.53</v>
      </c>
      <c r="BE119" s="82">
        <v>2068281.56</v>
      </c>
      <c r="BF119" s="76">
        <v>20830412.57</v>
      </c>
    </row>
    <row r="120" spans="2:58" s="14" customFormat="1" ht="12" customHeight="1" x14ac:dyDescent="0.2">
      <c r="B120" s="28"/>
      <c r="C120" s="23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38"/>
      <c r="V120" s="38"/>
      <c r="W120" s="38"/>
      <c r="X120" s="38"/>
      <c r="Y120" s="21"/>
      <c r="Z120" s="21"/>
      <c r="AA120" s="21"/>
      <c r="AB120" s="21"/>
      <c r="AC120" s="50"/>
      <c r="AD120" s="50"/>
      <c r="AE120" s="50"/>
      <c r="AF120" s="50"/>
      <c r="AG120" s="57"/>
      <c r="AH120" s="63"/>
      <c r="AI120" s="69"/>
      <c r="AJ120" s="63"/>
      <c r="AK120" s="63"/>
      <c r="AL120" s="69"/>
      <c r="AM120" s="63"/>
      <c r="AN120" s="82"/>
      <c r="AO120" s="82"/>
      <c r="AP120" s="82"/>
      <c r="AQ120" s="82"/>
      <c r="AR120" s="82"/>
      <c r="AS120" s="76"/>
      <c r="AT120" s="57"/>
      <c r="AU120" s="63"/>
      <c r="AV120" s="69"/>
      <c r="AW120" s="63"/>
      <c r="AX120" s="63"/>
      <c r="AY120" s="69"/>
      <c r="AZ120" s="63"/>
      <c r="BA120" s="82"/>
      <c r="BB120" s="82"/>
      <c r="BC120" s="82"/>
      <c r="BD120" s="82"/>
      <c r="BE120" s="82"/>
      <c r="BF120" s="76"/>
    </row>
    <row r="121" spans="2:58" s="25" customFormat="1" ht="12" customHeight="1" x14ac:dyDescent="0.2">
      <c r="B121" s="29" t="s">
        <v>61</v>
      </c>
      <c r="C121" s="16"/>
      <c r="D121" s="17"/>
      <c r="E121" s="18">
        <f t="shared" ref="E121:AR121" si="28">+E59+E9</f>
        <v>524016268</v>
      </c>
      <c r="F121" s="19">
        <f t="shared" si="28"/>
        <v>246540349.19</v>
      </c>
      <c r="G121" s="18">
        <f t="shared" si="28"/>
        <v>659054109</v>
      </c>
      <c r="H121" s="19">
        <f t="shared" si="28"/>
        <v>216989632</v>
      </c>
      <c r="I121" s="18">
        <f t="shared" si="28"/>
        <v>730429264.98000002</v>
      </c>
      <c r="J121" s="19">
        <f t="shared" si="28"/>
        <v>252824057.92999998</v>
      </c>
      <c r="K121" s="18">
        <f t="shared" si="28"/>
        <v>823529239.76997566</v>
      </c>
      <c r="L121" s="19">
        <f t="shared" si="28"/>
        <v>273712365.12599194</v>
      </c>
      <c r="M121" s="18">
        <f t="shared" si="28"/>
        <v>887277265.07302165</v>
      </c>
      <c r="N121" s="19">
        <f t="shared" si="28"/>
        <v>297077891.12697953</v>
      </c>
      <c r="O121" s="18">
        <f t="shared" si="28"/>
        <v>995123556.32584357</v>
      </c>
      <c r="P121" s="19">
        <f t="shared" si="28"/>
        <v>280027065.95339358</v>
      </c>
      <c r="Q121" s="18">
        <f t="shared" si="28"/>
        <v>414254401.49382007</v>
      </c>
      <c r="R121" s="19">
        <f t="shared" si="28"/>
        <v>470478501.35209787</v>
      </c>
      <c r="S121" s="18">
        <f t="shared" si="28"/>
        <v>494177864.54048312</v>
      </c>
      <c r="T121" s="19">
        <f t="shared" si="28"/>
        <v>498833626.47063828</v>
      </c>
      <c r="U121" s="19">
        <f t="shared" si="28"/>
        <v>1696965727.634438</v>
      </c>
      <c r="V121" s="19">
        <f t="shared" si="28"/>
        <v>663357306.43196809</v>
      </c>
      <c r="W121" s="19">
        <f t="shared" si="28"/>
        <v>1123470917.6203055</v>
      </c>
      <c r="X121" s="19">
        <f t="shared" si="28"/>
        <v>1133843605.6003501</v>
      </c>
      <c r="Y121" s="19">
        <f t="shared" si="28"/>
        <v>1194062155.7311513</v>
      </c>
      <c r="Z121" s="19">
        <f t="shared" si="28"/>
        <v>1189516820.2940626</v>
      </c>
      <c r="AA121" s="19">
        <f t="shared" si="28"/>
        <v>1337158642.1179597</v>
      </c>
      <c r="AB121" s="19">
        <f t="shared" si="28"/>
        <v>2165399585.1900697</v>
      </c>
      <c r="AC121" s="19">
        <f t="shared" si="28"/>
        <v>8257321015.5591583</v>
      </c>
      <c r="AD121" s="19">
        <f t="shared" si="28"/>
        <v>2667953826.1232052</v>
      </c>
      <c r="AE121" s="19">
        <f t="shared" si="28"/>
        <v>1515325084.76121</v>
      </c>
      <c r="AF121" s="19">
        <f t="shared" si="28"/>
        <v>5642029226.4168329</v>
      </c>
      <c r="AG121" s="58">
        <f t="shared" si="28"/>
        <v>383549711.04172957</v>
      </c>
      <c r="AH121" s="64">
        <f t="shared" si="28"/>
        <v>297327182.78570002</v>
      </c>
      <c r="AI121" s="70">
        <f t="shared" si="28"/>
        <v>178221265.35927877</v>
      </c>
      <c r="AJ121" s="64">
        <f t="shared" si="28"/>
        <v>506514585.17858148</v>
      </c>
      <c r="AK121" s="64">
        <f t="shared" si="28"/>
        <v>530689484.39035964</v>
      </c>
      <c r="AL121" s="79">
        <f t="shared" si="28"/>
        <v>107320957.11359999</v>
      </c>
      <c r="AM121" s="79">
        <f t="shared" si="28"/>
        <v>496485147.84079999</v>
      </c>
      <c r="AN121" s="79">
        <f t="shared" si="28"/>
        <v>407315599.64853477</v>
      </c>
      <c r="AO121" s="79">
        <f t="shared" si="28"/>
        <v>217807661.87039998</v>
      </c>
      <c r="AP121" s="79">
        <f t="shared" si="28"/>
        <v>675557451.48259997</v>
      </c>
      <c r="AQ121" s="79">
        <f t="shared" si="28"/>
        <v>1536437410.5840344</v>
      </c>
      <c r="AR121" s="79">
        <f t="shared" si="28"/>
        <v>181823088.53271532</v>
      </c>
      <c r="AS121" s="77">
        <f>+AS59+AS9</f>
        <v>5519049545.7428493</v>
      </c>
      <c r="AT121" s="58">
        <f t="shared" ref="AT121:BA121" si="29">+AT59+AT9</f>
        <v>979312438.99700284</v>
      </c>
      <c r="AU121" s="64">
        <f t="shared" si="29"/>
        <v>988851228.63859999</v>
      </c>
      <c r="AV121" s="70">
        <f t="shared" si="29"/>
        <v>129836056.26303567</v>
      </c>
      <c r="AW121" s="64">
        <f t="shared" si="29"/>
        <v>354862435.3452071</v>
      </c>
      <c r="AX121" s="64">
        <f t="shared" si="29"/>
        <v>752103441.87344038</v>
      </c>
      <c r="AY121" s="79">
        <f t="shared" si="29"/>
        <v>1295236072.8343997</v>
      </c>
      <c r="AZ121" s="79">
        <f t="shared" si="29"/>
        <v>1093110193.01</v>
      </c>
      <c r="BA121" s="79">
        <f t="shared" si="29"/>
        <v>1221416201.2203321</v>
      </c>
      <c r="BB121" s="79">
        <f>+BB59+BB9</f>
        <v>194307995.90749797</v>
      </c>
      <c r="BC121" s="79">
        <f>+BC59+BC9</f>
        <v>457620740.05445492</v>
      </c>
      <c r="BD121" s="79">
        <f>+BD59+BD9</f>
        <v>946772576.47286892</v>
      </c>
      <c r="BE121" s="79">
        <f>+BE59+BE9</f>
        <v>1682183861.1052847</v>
      </c>
      <c r="BF121" s="77">
        <f>+BF59+BF9</f>
        <v>10095613241.689342</v>
      </c>
    </row>
    <row r="122" spans="2:58" ht="12" customHeight="1" thickBot="1" x14ac:dyDescent="0.25">
      <c r="B122" s="30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40"/>
      <c r="V122" s="40"/>
      <c r="W122" s="40"/>
      <c r="X122" s="40"/>
      <c r="Y122" s="44"/>
      <c r="Z122" s="44"/>
      <c r="AA122" s="44"/>
      <c r="AB122" s="44"/>
      <c r="AC122" s="51"/>
      <c r="AD122" s="51"/>
      <c r="AE122" s="51"/>
      <c r="AF122" s="51"/>
      <c r="AG122" s="59"/>
      <c r="AH122" s="65"/>
      <c r="AI122" s="71"/>
      <c r="AJ122" s="65"/>
      <c r="AK122" s="65"/>
      <c r="AL122" s="71"/>
      <c r="AM122" s="65"/>
      <c r="AN122" s="83"/>
      <c r="AO122" s="83"/>
      <c r="AP122" s="83"/>
      <c r="AQ122" s="83"/>
      <c r="AR122" s="83"/>
      <c r="AS122" s="78"/>
      <c r="AT122" s="59"/>
      <c r="AU122" s="65"/>
      <c r="AV122" s="71"/>
      <c r="AW122" s="65"/>
      <c r="AX122" s="65"/>
      <c r="AY122" s="71"/>
      <c r="AZ122" s="65"/>
      <c r="BA122" s="83"/>
      <c r="BB122" s="83"/>
      <c r="BC122" s="83"/>
      <c r="BD122" s="83"/>
      <c r="BE122" s="83"/>
      <c r="BF122" s="78"/>
    </row>
    <row r="123" spans="2:58" x14ac:dyDescent="0.2">
      <c r="E123" s="34"/>
      <c r="F123" s="34"/>
      <c r="G123" s="34"/>
      <c r="H123" s="34"/>
      <c r="I123" s="34"/>
      <c r="J123" s="34"/>
    </row>
    <row r="124" spans="2:58" x14ac:dyDescent="0.2">
      <c r="C124" s="36" t="s">
        <v>66</v>
      </c>
      <c r="E124" s="34"/>
      <c r="F124" s="34"/>
      <c r="G124" s="34"/>
      <c r="H124" s="34"/>
      <c r="I124" s="34"/>
      <c r="J124" s="34"/>
      <c r="AA124" s="47"/>
      <c r="AC124" s="47"/>
      <c r="AE124" s="52"/>
      <c r="AF124" s="85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</row>
    <row r="125" spans="2:58" x14ac:dyDescent="0.2">
      <c r="D125" s="41" t="s">
        <v>134</v>
      </c>
      <c r="E125" s="34"/>
      <c r="F125" s="34"/>
      <c r="G125" s="34"/>
      <c r="H125" s="34"/>
      <c r="I125" s="34"/>
      <c r="J125" s="34"/>
      <c r="S125" s="37"/>
      <c r="T125" s="37"/>
      <c r="AA125" s="47"/>
      <c r="AB125" s="47"/>
      <c r="AC125" s="47"/>
      <c r="AD125" s="47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</row>
    <row r="126" spans="2:58" x14ac:dyDescent="0.2">
      <c r="E126" s="34"/>
      <c r="F126" s="34"/>
      <c r="G126" s="34"/>
      <c r="H126" s="34"/>
      <c r="I126" s="34"/>
      <c r="J126" s="34"/>
    </row>
    <row r="127" spans="2:58" x14ac:dyDescent="0.2">
      <c r="E127" s="34"/>
      <c r="F127" s="34"/>
      <c r="G127" s="34"/>
      <c r="H127" s="34"/>
      <c r="I127" s="34"/>
      <c r="J127" s="34"/>
    </row>
    <row r="128" spans="2:58" x14ac:dyDescent="0.2">
      <c r="E128" s="34"/>
      <c r="F128" s="34"/>
      <c r="G128" s="34"/>
      <c r="H128" s="34"/>
      <c r="I128" s="34"/>
      <c r="J128" s="34"/>
    </row>
    <row r="129" spans="5:10" x14ac:dyDescent="0.2">
      <c r="E129" s="34"/>
      <c r="F129" s="34"/>
      <c r="G129" s="34"/>
      <c r="H129" s="34"/>
      <c r="I129" s="34"/>
      <c r="J129" s="34"/>
    </row>
    <row r="130" spans="5:10" x14ac:dyDescent="0.2">
      <c r="E130" s="34"/>
      <c r="F130" s="34"/>
      <c r="G130" s="34"/>
      <c r="H130" s="34"/>
      <c r="I130" s="34"/>
      <c r="J130" s="34"/>
    </row>
    <row r="131" spans="5:10" x14ac:dyDescent="0.2">
      <c r="E131" s="34"/>
      <c r="F131" s="34"/>
      <c r="G131" s="34"/>
      <c r="H131" s="34"/>
      <c r="I131" s="34"/>
      <c r="J131" s="34"/>
    </row>
    <row r="132" spans="5:10" x14ac:dyDescent="0.2">
      <c r="E132" s="34"/>
      <c r="F132" s="34"/>
      <c r="G132" s="34"/>
      <c r="H132" s="34"/>
      <c r="I132" s="34"/>
      <c r="J132" s="34"/>
    </row>
    <row r="133" spans="5:10" x14ac:dyDescent="0.2">
      <c r="E133" s="34"/>
      <c r="F133" s="34"/>
      <c r="G133" s="34"/>
      <c r="H133" s="34"/>
      <c r="I133" s="34"/>
      <c r="J133" s="34"/>
    </row>
    <row r="134" spans="5:10" x14ac:dyDescent="0.2">
      <c r="E134" s="34"/>
      <c r="F134" s="34"/>
      <c r="G134" s="34"/>
      <c r="H134" s="34"/>
      <c r="I134" s="34"/>
      <c r="J134" s="34"/>
    </row>
    <row r="135" spans="5:10" x14ac:dyDescent="0.2">
      <c r="E135" s="34"/>
      <c r="F135" s="34"/>
      <c r="G135" s="34"/>
      <c r="H135" s="34"/>
      <c r="I135" s="34"/>
      <c r="J135" s="34"/>
    </row>
    <row r="136" spans="5:10" x14ac:dyDescent="0.2">
      <c r="E136" s="34"/>
      <c r="F136" s="34"/>
      <c r="G136" s="34"/>
      <c r="H136" s="34"/>
      <c r="I136" s="34"/>
      <c r="J136" s="34"/>
    </row>
    <row r="137" spans="5:10" x14ac:dyDescent="0.2">
      <c r="E137" s="34"/>
      <c r="F137" s="34"/>
      <c r="G137" s="34"/>
      <c r="H137" s="34"/>
      <c r="I137" s="34"/>
      <c r="J137" s="34"/>
    </row>
  </sheetData>
  <mergeCells count="16">
    <mergeCell ref="AE6:AF6"/>
    <mergeCell ref="AG6:BF6"/>
    <mergeCell ref="AC6:AD6"/>
    <mergeCell ref="M6:N6"/>
    <mergeCell ref="B7:D7"/>
    <mergeCell ref="E6:F6"/>
    <mergeCell ref="G6:H6"/>
    <mergeCell ref="I6:J6"/>
    <mergeCell ref="K6:L6"/>
    <mergeCell ref="AA6:AB6"/>
    <mergeCell ref="O6:P6"/>
    <mergeCell ref="Y6:Z6"/>
    <mergeCell ref="W6:X6"/>
    <mergeCell ref="U6:V6"/>
    <mergeCell ref="S6:T6"/>
    <mergeCell ref="Q6:R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7" orientation="landscape" horizontalDpi="300" verticalDpi="300" r:id="rId1"/>
  <headerFooter alignWithMargins="0"/>
  <ignoredErrors>
    <ignoredError sqref="S115:T11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2020-02-04T14:35:37Z</dcterms:modified>
</cp:coreProperties>
</file>